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filterPrivacy="1" hidePivotFieldList="1"/>
  <xr:revisionPtr revIDLastSave="0" documentId="8_{B8CC6F67-56FF-E34D-A9A5-6AFF8AD8093C}" xr6:coauthVersionLast="46" xr6:coauthVersionMax="46" xr10:uidLastSave="{00000000-0000-0000-0000-000000000000}"/>
  <bookViews>
    <workbookView xWindow="80" yWindow="460" windowWidth="28720" windowHeight="17540" activeTab="1" xr2:uid="{00000000-000D-0000-FFFF-FFFF00000000}"/>
  </bookViews>
  <sheets>
    <sheet name="Synergies" sheetId="1" state="hidden" r:id="rId1"/>
    <sheet name="Synergies for LCA" sheetId="2" r:id="rId2"/>
    <sheet name="SP export" sheetId="7" r:id="rId3"/>
  </sheets>
  <definedNames>
    <definedName name="_xlnm._FilterDatabase" localSheetId="1" hidden="1">'Synergies for LCA'!$A$1:$AR$101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 i="2" l="1"/>
  <c r="E45" i="7"/>
  <c r="E43" i="7"/>
  <c r="E44" i="7" s="1"/>
  <c r="E40" i="7"/>
  <c r="E20" i="7"/>
  <c r="E42" i="7" s="1"/>
  <c r="E17" i="7" l="1"/>
  <c r="J104" i="2"/>
  <c r="AB42" i="2"/>
  <c r="AB40" i="2"/>
  <c r="AB39" i="2"/>
  <c r="AB26" i="2"/>
  <c r="AB38" i="2"/>
  <c r="AB33" i="2"/>
  <c r="AB25" i="2"/>
  <c r="E28" i="7" l="1"/>
  <c r="E27" i="7"/>
  <c r="AB19" i="2" l="1"/>
  <c r="AB64" i="2" l="1"/>
  <c r="AB66" i="2" l="1"/>
  <c r="AB24" i="2"/>
  <c r="AB12" i="2"/>
  <c r="AQ1" i="2" l="1"/>
  <c r="AP1" i="2"/>
  <c r="J105" i="2"/>
  <c r="AB92" i="2"/>
  <c r="AB91" i="2"/>
  <c r="AB65" i="2"/>
  <c r="AB63" i="2"/>
  <c r="AB62" i="2"/>
  <c r="AB61" i="2"/>
  <c r="AB60" i="2"/>
  <c r="AB59" i="2"/>
  <c r="AB58" i="2"/>
  <c r="AB55" i="2"/>
  <c r="AB45" i="2"/>
  <c r="AB37" i="2"/>
  <c r="AB35" i="2"/>
  <c r="AB27" i="2"/>
  <c r="AB23" i="2"/>
  <c r="AB21" i="2"/>
  <c r="AB20" i="2"/>
  <c r="AB18" i="2"/>
  <c r="AB17" i="2"/>
  <c r="AB16" i="2"/>
  <c r="AB15" i="2"/>
  <c r="AB14" i="2"/>
  <c r="AB10" i="2"/>
  <c r="AB9" i="2"/>
  <c r="AB8" i="2"/>
  <c r="AB3" i="2"/>
  <c r="J107" i="2" l="1"/>
  <c r="E35" i="7" l="1"/>
  <c r="E18" i="7"/>
  <c r="E19" i="7"/>
  <c r="E21" i="7"/>
  <c r="E49" i="7" s="1"/>
  <c r="E50" i="7" s="1"/>
  <c r="E22" i="7"/>
  <c r="E54" i="7" s="1"/>
  <c r="E55" i="7" s="1"/>
  <c r="E23" i="7"/>
  <c r="E59" i="7" s="1"/>
  <c r="E60" i="7" s="1"/>
  <c r="E24" i="7"/>
  <c r="E25" i="7"/>
  <c r="E36" i="7" l="1"/>
  <c r="BI15" i="7" l="1"/>
  <c r="G15" i="7" l="1"/>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AQ100" i="2" l="1"/>
  <c r="AQ94" i="2"/>
  <c r="AQ90" i="2"/>
  <c r="AQ86" i="2"/>
  <c r="AQ82" i="2"/>
  <c r="AQ78" i="2"/>
  <c r="AQ74" i="2"/>
  <c r="AQ70" i="2"/>
  <c r="AQ66" i="2"/>
  <c r="AQ62" i="2"/>
  <c r="AQ58" i="2"/>
  <c r="AQ54" i="2"/>
  <c r="AQ50" i="2"/>
  <c r="AQ46" i="2"/>
  <c r="AQ42" i="2"/>
  <c r="AQ38" i="2"/>
  <c r="AQ34" i="2"/>
  <c r="AQ30" i="2"/>
  <c r="AQ26" i="2"/>
  <c r="AQ22" i="2"/>
  <c r="AQ18" i="2"/>
  <c r="AQ14" i="2"/>
  <c r="AQ10" i="2"/>
  <c r="AQ6" i="2"/>
  <c r="AQ2" i="2"/>
  <c r="AQ44" i="2"/>
  <c r="AQ32" i="2"/>
  <c r="AQ20" i="2"/>
  <c r="AQ8" i="2"/>
  <c r="AQ91" i="2"/>
  <c r="AQ71" i="2"/>
  <c r="AQ59" i="2"/>
  <c r="AQ47" i="2"/>
  <c r="AQ35" i="2"/>
  <c r="AQ23" i="2"/>
  <c r="AQ11" i="2"/>
  <c r="AQ98" i="2"/>
  <c r="AQ93" i="2"/>
  <c r="AQ89" i="2"/>
  <c r="AQ85" i="2"/>
  <c r="AQ81" i="2"/>
  <c r="AQ77" i="2"/>
  <c r="AQ73" i="2"/>
  <c r="AQ69" i="2"/>
  <c r="AQ65" i="2"/>
  <c r="AQ61" i="2"/>
  <c r="AQ57" i="2"/>
  <c r="AQ53" i="2"/>
  <c r="AQ49" i="2"/>
  <c r="AQ45" i="2"/>
  <c r="AQ41" i="2"/>
  <c r="AQ37" i="2"/>
  <c r="AQ33" i="2"/>
  <c r="AQ29" i="2"/>
  <c r="AQ25" i="2"/>
  <c r="AQ21" i="2"/>
  <c r="AQ17" i="2"/>
  <c r="AQ13" i="2"/>
  <c r="AQ9" i="2"/>
  <c r="AQ5" i="2"/>
  <c r="AQ40" i="2"/>
  <c r="AQ28" i="2"/>
  <c r="AQ16" i="2"/>
  <c r="AQ4" i="2"/>
  <c r="AQ83" i="2"/>
  <c r="AQ75" i="2"/>
  <c r="AQ63" i="2"/>
  <c r="AQ51" i="2"/>
  <c r="AQ39" i="2"/>
  <c r="AQ27" i="2"/>
  <c r="AQ15" i="2"/>
  <c r="AQ3" i="2"/>
  <c r="AQ96" i="2"/>
  <c r="AQ92" i="2"/>
  <c r="AQ88" i="2"/>
  <c r="AQ84" i="2"/>
  <c r="AQ80" i="2"/>
  <c r="AQ76" i="2"/>
  <c r="AQ72" i="2"/>
  <c r="AQ68" i="2"/>
  <c r="AQ64" i="2"/>
  <c r="AQ60" i="2"/>
  <c r="AQ56" i="2"/>
  <c r="AQ52" i="2"/>
  <c r="AQ48" i="2"/>
  <c r="AQ36" i="2"/>
  <c r="AQ24" i="2"/>
  <c r="AQ12" i="2"/>
  <c r="AQ87" i="2"/>
  <c r="AQ79" i="2"/>
  <c r="AQ67" i="2"/>
  <c r="AQ55" i="2"/>
  <c r="AQ43" i="2"/>
  <c r="AQ31" i="2"/>
  <c r="AQ19" i="2"/>
  <c r="AQ7" i="2"/>
  <c r="AQ95" i="2"/>
  <c r="AJ105" i="2"/>
  <c r="AJ104" i="2"/>
  <c r="AA84" i="2"/>
  <c r="AA83" i="2"/>
  <c r="AA82" i="2"/>
  <c r="AQ104" i="2" l="1"/>
  <c r="AJ107" i="2"/>
  <c r="AM1" i="2"/>
  <c r="AO1" i="2" l="1"/>
  <c r="AN1" i="2"/>
  <c r="A22" i="7"/>
  <c r="A21" i="7"/>
  <c r="A20" i="7"/>
  <c r="A19" i="7"/>
  <c r="AP2" i="2" l="1"/>
  <c r="AM46" i="2"/>
  <c r="AM30" i="2"/>
  <c r="AM14" i="2"/>
  <c r="AM41" i="2"/>
  <c r="AM25" i="2"/>
  <c r="AM48" i="2"/>
  <c r="AM16" i="2"/>
  <c r="AM31" i="2"/>
  <c r="AM45" i="2"/>
  <c r="AM32" i="2"/>
  <c r="AM43" i="2"/>
  <c r="AM11" i="2"/>
  <c r="AM42" i="2"/>
  <c r="AM26" i="2"/>
  <c r="AM10" i="2"/>
  <c r="AM37" i="2"/>
  <c r="AM21" i="2"/>
  <c r="AM44" i="2"/>
  <c r="AM8" i="2"/>
  <c r="AM23" i="2"/>
  <c r="AM13" i="2"/>
  <c r="AM20" i="2"/>
  <c r="AM35" i="2"/>
  <c r="AM3" i="2"/>
  <c r="AM38" i="2"/>
  <c r="AM22" i="2"/>
  <c r="AM6" i="2"/>
  <c r="AM33" i="2"/>
  <c r="AM17" i="2"/>
  <c r="AM36" i="2"/>
  <c r="AM47" i="2"/>
  <c r="AM15" i="2"/>
  <c r="AM5" i="2"/>
  <c r="AM12" i="2"/>
  <c r="AM27" i="2"/>
  <c r="AM24" i="2"/>
  <c r="AM34" i="2"/>
  <c r="AM18" i="2"/>
  <c r="AM2" i="2"/>
  <c r="AM29" i="2"/>
  <c r="AM9" i="2"/>
  <c r="AM28" i="2"/>
  <c r="AM39" i="2"/>
  <c r="AM7" i="2"/>
  <c r="AM40" i="2"/>
  <c r="AM19" i="2"/>
  <c r="AM100" i="2"/>
  <c r="AP56" i="2"/>
  <c r="AP98" i="2"/>
  <c r="AP96" i="2"/>
  <c r="AP100" i="2"/>
  <c r="AM56" i="2"/>
  <c r="AM96" i="2"/>
  <c r="AM98" i="2"/>
  <c r="AN56" i="2"/>
  <c r="AN96" i="2"/>
  <c r="AN100" i="2"/>
  <c r="AN98" i="2"/>
  <c r="AO56" i="2"/>
  <c r="AO96" i="2"/>
  <c r="AO100" i="2"/>
  <c r="AO98" i="2"/>
  <c r="AP94" i="2"/>
  <c r="AP93" i="2"/>
  <c r="AP77" i="2"/>
  <c r="AP67" i="2"/>
  <c r="AP63" i="2"/>
  <c r="AP59" i="2"/>
  <c r="AP55" i="2"/>
  <c r="AP51" i="2"/>
  <c r="AP91" i="2"/>
  <c r="AP74" i="2"/>
  <c r="AP90" i="2"/>
  <c r="AP76" i="2"/>
  <c r="AP78" i="2"/>
  <c r="AP89" i="2"/>
  <c r="AP73" i="2"/>
  <c r="AP66" i="2"/>
  <c r="AP62" i="2"/>
  <c r="AP58" i="2"/>
  <c r="AP54" i="2"/>
  <c r="AP50" i="2"/>
  <c r="AP87" i="2"/>
  <c r="AP71" i="2"/>
  <c r="AP86" i="2"/>
  <c r="AP69" i="2"/>
  <c r="AP92" i="2"/>
  <c r="AP75" i="2"/>
  <c r="AP70" i="2"/>
  <c r="AP85" i="2"/>
  <c r="AP72" i="2"/>
  <c r="AP65" i="2"/>
  <c r="AP61" i="2"/>
  <c r="AP57" i="2"/>
  <c r="AP53" i="2"/>
  <c r="AP49" i="2"/>
  <c r="AP83" i="2"/>
  <c r="AP84" i="2"/>
  <c r="AP88" i="2"/>
  <c r="AP81" i="2"/>
  <c r="AP68" i="2"/>
  <c r="AP64" i="2"/>
  <c r="AP60" i="2"/>
  <c r="AP52" i="2"/>
  <c r="AP95" i="2"/>
  <c r="AP79" i="2"/>
  <c r="AP80" i="2"/>
  <c r="AP82" i="2"/>
  <c r="AM93" i="2"/>
  <c r="AM89" i="2"/>
  <c r="AM85" i="2"/>
  <c r="AM81" i="2"/>
  <c r="AM77" i="2"/>
  <c r="AM73" i="2"/>
  <c r="AM69" i="2"/>
  <c r="AM65" i="2"/>
  <c r="AM61" i="2"/>
  <c r="AM57" i="2"/>
  <c r="AM53" i="2"/>
  <c r="AM64" i="2"/>
  <c r="AM51" i="2"/>
  <c r="AM92" i="2"/>
  <c r="AM88" i="2"/>
  <c r="AM84" i="2"/>
  <c r="AM80" i="2"/>
  <c r="AM76" i="2"/>
  <c r="AM72" i="2"/>
  <c r="AM60" i="2"/>
  <c r="AM59" i="2"/>
  <c r="AM95" i="2"/>
  <c r="AM91" i="2"/>
  <c r="AM87" i="2"/>
  <c r="AM83" i="2"/>
  <c r="AM79" i="2"/>
  <c r="AM75" i="2"/>
  <c r="AM71" i="2"/>
  <c r="AM67" i="2"/>
  <c r="AM63" i="2"/>
  <c r="AM49" i="2"/>
  <c r="AM94" i="2"/>
  <c r="AM90" i="2"/>
  <c r="AM86" i="2"/>
  <c r="AM82" i="2"/>
  <c r="AM78" i="2"/>
  <c r="AM74" i="2"/>
  <c r="AM70" i="2"/>
  <c r="AM66" i="2"/>
  <c r="AM62" i="2"/>
  <c r="AM58" i="2"/>
  <c r="AM54" i="2"/>
  <c r="AM50" i="2"/>
  <c r="AM68" i="2"/>
  <c r="AM52" i="2"/>
  <c r="AM55" i="2"/>
  <c r="AN2" i="2"/>
  <c r="AN93" i="2"/>
  <c r="AN89" i="2"/>
  <c r="AN85" i="2"/>
  <c r="AN81" i="2"/>
  <c r="AN77" i="2"/>
  <c r="AN73" i="2"/>
  <c r="AN69" i="2"/>
  <c r="AN65" i="2"/>
  <c r="AN61" i="2"/>
  <c r="AN57" i="2"/>
  <c r="AN53" i="2"/>
  <c r="AN49" i="2"/>
  <c r="AN92" i="2"/>
  <c r="AN88" i="2"/>
  <c r="AN84" i="2"/>
  <c r="AN80" i="2"/>
  <c r="AN76" i="2"/>
  <c r="AN72" i="2"/>
  <c r="AN68" i="2"/>
  <c r="AN64" i="2"/>
  <c r="AN60" i="2"/>
  <c r="AN52" i="2"/>
  <c r="AN95" i="2"/>
  <c r="AN91" i="2"/>
  <c r="AN87" i="2"/>
  <c r="AN83" i="2"/>
  <c r="AN79" i="2"/>
  <c r="AN75" i="2"/>
  <c r="AN71" i="2"/>
  <c r="AN67" i="2"/>
  <c r="AN63" i="2"/>
  <c r="AN59" i="2"/>
  <c r="AN55" i="2"/>
  <c r="AN51" i="2"/>
  <c r="AN94" i="2"/>
  <c r="AN90" i="2"/>
  <c r="AN86" i="2"/>
  <c r="AN82" i="2"/>
  <c r="AN78" i="2"/>
  <c r="AN74" i="2"/>
  <c r="AN70" i="2"/>
  <c r="AN66" i="2"/>
  <c r="AN62" i="2"/>
  <c r="AN58" i="2"/>
  <c r="AN54" i="2"/>
  <c r="AN50" i="2"/>
  <c r="AO2" i="2"/>
  <c r="AO93" i="2"/>
  <c r="AO88" i="2"/>
  <c r="AO84" i="2"/>
  <c r="AO80" i="2"/>
  <c r="AO76" i="2"/>
  <c r="AO72" i="2"/>
  <c r="AO68" i="2"/>
  <c r="AO64" i="2"/>
  <c r="AO60" i="2"/>
  <c r="AO52" i="2"/>
  <c r="AO89" i="2"/>
  <c r="AO92" i="2"/>
  <c r="AO87" i="2"/>
  <c r="AO83" i="2"/>
  <c r="AO79" i="2"/>
  <c r="AO75" i="2"/>
  <c r="AO71" i="2"/>
  <c r="AO67" i="2"/>
  <c r="AO63" i="2"/>
  <c r="AO59" i="2"/>
  <c r="AO55" i="2"/>
  <c r="AO51" i="2"/>
  <c r="AO95" i="2"/>
  <c r="AO91" i="2"/>
  <c r="AO86" i="2"/>
  <c r="AO82" i="2"/>
  <c r="AO78" i="2"/>
  <c r="AO74" i="2"/>
  <c r="AO70" i="2"/>
  <c r="AO66" i="2"/>
  <c r="AO62" i="2"/>
  <c r="AO58" i="2"/>
  <c r="AO54" i="2"/>
  <c r="AO50" i="2"/>
  <c r="AO94" i="2"/>
  <c r="AO90" i="2"/>
  <c r="AO85" i="2"/>
  <c r="AO81" i="2"/>
  <c r="AO77" i="2"/>
  <c r="AO73" i="2"/>
  <c r="AO69" i="2"/>
  <c r="AO65" i="2"/>
  <c r="AO61" i="2"/>
  <c r="AO57" i="2"/>
  <c r="AO53" i="2"/>
  <c r="AO49" i="2"/>
  <c r="AP46" i="2"/>
  <c r="AP42" i="2"/>
  <c r="AP38" i="2"/>
  <c r="AP34" i="2"/>
  <c r="AN8" i="2"/>
  <c r="AN12" i="2"/>
  <c r="AN16" i="2"/>
  <c r="AN20" i="2"/>
  <c r="AN24" i="2"/>
  <c r="AN28" i="2"/>
  <c r="AN4" i="2"/>
  <c r="AO14" i="2"/>
  <c r="AO22" i="2"/>
  <c r="AO30" i="2"/>
  <c r="AN48" i="2"/>
  <c r="AN40" i="2"/>
  <c r="AN32" i="2"/>
  <c r="AP15" i="2"/>
  <c r="AP23" i="2"/>
  <c r="AP3" i="2"/>
  <c r="AO47" i="2"/>
  <c r="AO43" i="2"/>
  <c r="AO39" i="2"/>
  <c r="AO35" i="2"/>
  <c r="AO31" i="2"/>
  <c r="AO15" i="2"/>
  <c r="AO23" i="2"/>
  <c r="AO3" i="2"/>
  <c r="AN45" i="2"/>
  <c r="AN37" i="2"/>
  <c r="AP9" i="2"/>
  <c r="AP16" i="2"/>
  <c r="AP24" i="2"/>
  <c r="AP4" i="2"/>
  <c r="AN17" i="2"/>
  <c r="AN29" i="2"/>
  <c r="AO8" i="2"/>
  <c r="AO24" i="2"/>
  <c r="AN46" i="2"/>
  <c r="AP8" i="2"/>
  <c r="AP17" i="2"/>
  <c r="AP5" i="2"/>
  <c r="AO42" i="2"/>
  <c r="AO34" i="2"/>
  <c r="AO17" i="2"/>
  <c r="AO25" i="2"/>
  <c r="AN43" i="2"/>
  <c r="AP11" i="2"/>
  <c r="AP26" i="2"/>
  <c r="AP44" i="2"/>
  <c r="AP36" i="2"/>
  <c r="AN10" i="2"/>
  <c r="AN18" i="2"/>
  <c r="AN30" i="2"/>
  <c r="AO10" i="2"/>
  <c r="AO6" i="2"/>
  <c r="AP10" i="2"/>
  <c r="AP7" i="2"/>
  <c r="AO37" i="2"/>
  <c r="AO19" i="2"/>
  <c r="AN41" i="2"/>
  <c r="AP20" i="2"/>
  <c r="AP47" i="2"/>
  <c r="AP39" i="2"/>
  <c r="AN11" i="2"/>
  <c r="AN19" i="2"/>
  <c r="AN3" i="2"/>
  <c r="AO20" i="2"/>
  <c r="AP45" i="2"/>
  <c r="AP41" i="2"/>
  <c r="AP37" i="2"/>
  <c r="AP33" i="2"/>
  <c r="AN9" i="2"/>
  <c r="AN13" i="2"/>
  <c r="AN21" i="2"/>
  <c r="AN25" i="2"/>
  <c r="AN5" i="2"/>
  <c r="AO16" i="2"/>
  <c r="AO4" i="2"/>
  <c r="AN38" i="2"/>
  <c r="AP25" i="2"/>
  <c r="AO46" i="2"/>
  <c r="AO38" i="2"/>
  <c r="AO9" i="2"/>
  <c r="AO5" i="2"/>
  <c r="AN35" i="2"/>
  <c r="AP18" i="2"/>
  <c r="AP6" i="2"/>
  <c r="AP48" i="2"/>
  <c r="AP40" i="2"/>
  <c r="AP32" i="2"/>
  <c r="AN14" i="2"/>
  <c r="AN26" i="2"/>
  <c r="AO18" i="2"/>
  <c r="AN44" i="2"/>
  <c r="AP19" i="2"/>
  <c r="AO45" i="2"/>
  <c r="AO33" i="2"/>
  <c r="AO27" i="2"/>
  <c r="AN33" i="2"/>
  <c r="AP28" i="2"/>
  <c r="AP31" i="2"/>
  <c r="AN23" i="2"/>
  <c r="AN7" i="2"/>
  <c r="AO28" i="2"/>
  <c r="AN22" i="2"/>
  <c r="AN6" i="2"/>
  <c r="AO26" i="2"/>
  <c r="AN36" i="2"/>
  <c r="AP27" i="2"/>
  <c r="AO41" i="2"/>
  <c r="AO11" i="2"/>
  <c r="AO7" i="2"/>
  <c r="AP12" i="2"/>
  <c r="AP43" i="2"/>
  <c r="AP35" i="2"/>
  <c r="AN15" i="2"/>
  <c r="AN27" i="2"/>
  <c r="AO12" i="2"/>
  <c r="AN42" i="2"/>
  <c r="AP29" i="2"/>
  <c r="AO36" i="2"/>
  <c r="AO29" i="2"/>
  <c r="AP14" i="2"/>
  <c r="AN47" i="2"/>
  <c r="AN39" i="2"/>
  <c r="AP21" i="2"/>
  <c r="AN31" i="2"/>
  <c r="AN34" i="2"/>
  <c r="AO48" i="2"/>
  <c r="AO32" i="2"/>
  <c r="AP22" i="2"/>
  <c r="AP30" i="2"/>
  <c r="AO40" i="2"/>
  <c r="AP13" i="2"/>
  <c r="AO44" i="2"/>
  <c r="AO13" i="2"/>
  <c r="AO21" i="2"/>
  <c r="AM104" i="2" l="1"/>
  <c r="AM105" i="2"/>
  <c r="AM106" i="2"/>
  <c r="AP104" i="2"/>
  <c r="AO104" i="2"/>
  <c r="AN10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84" authorId="0" shapeId="0" xr:uid="{1F075DE0-DD4C-495F-9A1B-C59A1F16A322}">
      <text>
        <r>
          <rPr>
            <b/>
            <sz val="9"/>
            <color indexed="81"/>
            <rFont val="Tahoma"/>
            <family val="2"/>
          </rPr>
          <t>Author:</t>
        </r>
        <r>
          <rPr>
            <sz val="9"/>
            <color indexed="81"/>
            <rFont val="Tahoma"/>
            <family val="2"/>
          </rPr>
          <t xml:space="preserve">
Plutôt synergy normale ??? Versv secteur de l'agriculture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B24" authorId="0" shapeId="0" xr:uid="{0FBC70BB-50D8-F84E-9C56-AF30189E99F2}">
      <text>
        <r>
          <rPr>
            <sz val="10"/>
            <color rgb="FF000000"/>
            <rFont val="Tahoma"/>
            <family val="2"/>
          </rPr>
          <t xml:space="preserve">Author:
</t>
        </r>
        <r>
          <rPr>
            <sz val="10"/>
            <color rgb="FF000000"/>
            <rFont val="Tahoma"/>
            <family val="2"/>
          </rPr>
          <t xml:space="preserve">32% CH4, 0.8 kg/m3 CH4
</t>
        </r>
        <r>
          <rPr>
            <sz val="10"/>
            <color rgb="FF000000"/>
            <rFont val="Tahoma"/>
            <family val="2"/>
          </rPr>
          <t>0.55% H2, 0.0899 kg/m3</t>
        </r>
      </text>
    </comment>
    <comment ref="AB25" authorId="0" shapeId="0" xr:uid="{04EE2207-06B1-EB4E-AC3D-4768CF9C5815}">
      <text>
        <r>
          <rPr>
            <sz val="10"/>
            <color rgb="FF000000"/>
            <rFont val="Tahoma"/>
            <family val="2"/>
          </rPr>
          <t xml:space="preserve">Author:
</t>
        </r>
        <r>
          <rPr>
            <sz val="10"/>
            <color rgb="FF000000"/>
            <rFont val="Tahoma"/>
            <family val="2"/>
          </rPr>
          <t>1-5% H2 (ave:3%), 0.0899 kg/m3 H2.</t>
        </r>
      </text>
    </comment>
    <comment ref="AB26" authorId="0" shapeId="0" xr:uid="{E30ACDD6-7122-EA4F-AC19-56E79DD60A9C}">
      <text>
        <r>
          <rPr>
            <sz val="10"/>
            <color rgb="FF000000"/>
            <rFont val="Tahoma"/>
            <family val="2"/>
          </rPr>
          <t xml:space="preserve">Author:
</t>
        </r>
        <r>
          <rPr>
            <sz val="10"/>
            <color rgb="FF000000"/>
            <rFont val="Tahoma"/>
            <family val="2"/>
          </rPr>
          <t>1-5% H2 (ave:3%), 0.0899 kg/m3 H2.</t>
        </r>
      </text>
    </comment>
  </commentList>
</comments>
</file>

<file path=xl/sharedStrings.xml><?xml version="1.0" encoding="utf-8"?>
<sst xmlns="http://schemas.openxmlformats.org/spreadsheetml/2006/main" count="4436" uniqueCount="1295">
  <si>
    <t>#</t>
  </si>
  <si>
    <t>BY-PRODUCT</t>
  </si>
  <si>
    <t>ELEMENT OF INTEREST</t>
  </si>
  <si>
    <t>SENDER SECTOR AND PROCESS</t>
  </si>
  <si>
    <t>RECEIVER SECTOR AND PROCESS</t>
  </si>
  <si>
    <t>ANNUAL VOLUME</t>
  </si>
  <si>
    <t>TYPE OF SYNERGY</t>
  </si>
  <si>
    <t>SYNERGY DESCRIPTION</t>
  </si>
  <si>
    <t>TECHNOLOGY OBJECTIVE</t>
  </si>
  <si>
    <t>TYPE OF RESOURCE</t>
  </si>
  <si>
    <t>STATE OF MATTER</t>
  </si>
  <si>
    <t>COKE OVEN GAS</t>
  </si>
  <si>
    <t>HYDROGEN</t>
  </si>
  <si>
    <t>S : STEEL
P : COKE OVEN PLANTS</t>
  </si>
  <si>
    <t>S : REFINING MINERAL OIL AND GAS
P : HYDROCRACKING PROCESS</t>
  </si>
  <si>
    <t>7 067 736 000 - 16 945 478 000 Nm3/y</t>
  </si>
  <si>
    <t>INDIRECT</t>
  </si>
  <si>
    <t>STRANE METHODOLOGY
BREF</t>
  </si>
  <si>
    <t>Recover hydrogen</t>
  </si>
  <si>
    <t>MATERIAL EXCHANGE</t>
  </si>
  <si>
    <t>CONTINUOUS</t>
  </si>
  <si>
    <t>GAS</t>
  </si>
  <si>
    <t>METHANOL</t>
  </si>
  <si>
    <t>S : REFINING_MINERAL_OIL_AND_GAS
P : ISOMERISATION_PROCESS</t>
  </si>
  <si>
    <t>18 122 400 000 - 26 076 120 000 Nm3/y</t>
  </si>
  <si>
    <t>The aim of this synergy is to recover coke oven gas from coke ovens and extract hydrogen to provide petrochemical industries.
There are 38 coke oven plants in European Union. They produce 50 340 000 t of coke /y. (1 324 736 T/site)
Coke ovens process generates 360 - 518 Nm3 of coke oven gas / t of coke. The annual COG volume is between 18 122 400 000 - 26 076 120 000 Nm3/y. (476 905 263 - 686 213 684 Nm3/site).</t>
  </si>
  <si>
    <t>Chemical synthesis of methanol</t>
  </si>
  <si>
    <t>ACETALDEHYDE
DIETHYL ETHER
ETHYL ACETATE
ETHYL PROPIONATE</t>
  </si>
  <si>
    <t>S : ORGANIC CHEMICALS
P : ETHYL ACETATE PRODUCTION</t>
  </si>
  <si>
    <t>S : CEMENT
P : BURNING</t>
  </si>
  <si>
    <t>2400 t/y</t>
  </si>
  <si>
    <t>The aim of this synergy is to recover waste fuels from ethyl acetate cleaning operation and send it to cement sector for clinker kiln combustible supply. This flow is composed by two fractions, organic and acid. The organic one (composed by a mix of waste fuel : (Acetaldehyde, Diethyl ether, Ethyl acetate, ethyl propionate) is sent to the cement sector to provide fuel for kiln. The acid acetic fraction is directly reused in the ethyl acetate production process.</t>
  </si>
  <si>
    <t>INDUSTRIAL PARTNER SOURCE</t>
  </si>
  <si>
    <t>Separate the flow in 2 fractions : 
- One organic fraction with a High LHV value composed by several fuels  which can be burned in the Clinker Kiln
- One acid fraction (acid acetic) for internal reuse it in the ethyl acetate production process</t>
  </si>
  <si>
    <t>COMBUSTIBLE</t>
  </si>
  <si>
    <t>DISCONTINUOUS</t>
  </si>
  <si>
    <t>LIQUID</t>
  </si>
  <si>
    <t>COKE</t>
  </si>
  <si>
    <t>S : ORGANIC CHEMICALS
P : STEAM CRACKING</t>
  </si>
  <si>
    <t>S : STEEL
P : SINTER PLANTS MANUFACTURING</t>
  </si>
  <si>
    <t>400 t/y</t>
  </si>
  <si>
    <t>DIRECT</t>
  </si>
  <si>
    <t>Recover pure coke</t>
  </si>
  <si>
    <t>SOLID</t>
  </si>
  <si>
    <t>EMISSIONS</t>
  </si>
  <si>
    <t>Zn</t>
  </si>
  <si>
    <t>S : STEEL
P : ELECTRIC ARC FURNACE STEELMAKING AND CASTING MANUFACTURING</t>
  </si>
  <si>
    <t>S : NON FERROUS METALS INDUSTRIES
P : WAELZ KILN OPERATION</t>
  </si>
  <si>
    <t>16 600 - 1 985 520 t/year</t>
  </si>
  <si>
    <t>The aim of this synergy is to recover steel sector zinc emissions from electrical arc furnace to provide non-ferrous metals industries zinc production.
Electrical arc furnace is direct smelting scrap steelmaking route. This technology is now widely used in European Union with 231 referenced installations. European annual EAF steel production is around 83 Mt/year.
EAF process generates dusts (4 – 300 g/t of liquid steel) composed by a significant part of metals particles. EAF produce 200 - 24000 mg of Zinc/t of liquid steel. The associated zinc annual volume is 16 600 - 1 985 520 t/y (71 - 8 595 t/y)
Non-ferrous metals industries are zinc residues consumers and zinc producers.
There are 33 lead and tin production referenced installations in European Union. European annual lead and tin production is around 1 770 000 t/year (53 636 t/site).
Zinc production process uses zinc oxide. Waelz Kiln is one recovery technology for zinc residues treating in order to produce waelz zinc oxide.</t>
  </si>
  <si>
    <t>STRANE METHODOLOGY</t>
  </si>
  <si>
    <t xml:space="preserve">First approach : recover raw pure metal for new process or direct selling. 
Second approach : recover Zinc residues to mix with other product and  create alloy (brass, maillechort and Zamack).  </t>
  </si>
  <si>
    <t>BASIC OXYGEN FURNACE SLAG</t>
  </si>
  <si>
    <t>SILICIUM
ALUMINIUM
CALCIUM
IRON</t>
  </si>
  <si>
    <t>S : STEEL
P : BASIC OXYGEN STEELMAKING AND CASTING MANUFACTURING</t>
  </si>
  <si>
    <t>S : CEMENT
P : RAW MATERIALS PREPARATION</t>
  </si>
  <si>
    <t>STRANE METHODOLOGY
BREF
BEST PRACTICES</t>
  </si>
  <si>
    <t>Recover and transport BOF slag as a silicium alumina and calcium supply</t>
  </si>
  <si>
    <t>GYPSUM</t>
  </si>
  <si>
    <t>S : INORGANIC CHEMICALS
P : SULPHATE PROCESS</t>
  </si>
  <si>
    <t>S : COMBUSTION PLANT
P : COAL COMBUSTION</t>
  </si>
  <si>
    <t>S : CEMENT
P : GRINDDING CEMENT MILL</t>
  </si>
  <si>
    <t>2 543 550 t/y</t>
  </si>
  <si>
    <t>DIRECT / INDIRECT FOR RED GYPSUM</t>
  </si>
  <si>
    <t>Recover Gyspum from coal combustion process process and treat it to be compliant with standard gyspum used in grinding cement mill</t>
  </si>
  <si>
    <t>SULPHURIC ACID</t>
  </si>
  <si>
    <t>LIME</t>
  </si>
  <si>
    <t>SALT</t>
  </si>
  <si>
    <t>H2SO4</t>
  </si>
  <si>
    <t>Ni</t>
  </si>
  <si>
    <t>SULPHUR</t>
  </si>
  <si>
    <t>REFRACTORY PRODUCTS</t>
  </si>
  <si>
    <t>SLAG</t>
  </si>
  <si>
    <t>CALCIUM</t>
  </si>
  <si>
    <t>SLUDGE</t>
  </si>
  <si>
    <t>CALCIUM
ALUMINIUM</t>
  </si>
  <si>
    <t>SAND</t>
  </si>
  <si>
    <t>RED MUD</t>
  </si>
  <si>
    <t>IRON</t>
  </si>
  <si>
    <t>SILICIUM
ALUMINIUM
CALCIUM</t>
  </si>
  <si>
    <t>ALUMINIUM OXIDES</t>
  </si>
  <si>
    <t>BOTTOM ASH</t>
  </si>
  <si>
    <t>FERROUS-METALS</t>
  </si>
  <si>
    <t>EAF SLAG</t>
  </si>
  <si>
    <t>BENZENE</t>
  </si>
  <si>
    <t>S : NON FERROUS METALS INDUSTRIES
P : PRIMARY COPPER SMELTING PYROMETALLURGICAL ROUTE</t>
  </si>
  <si>
    <t>S : NON FERROUS METALS INDUSTRIES
P : LEAD AND TIN PRODUCTION</t>
  </si>
  <si>
    <t>S : FOOD DRINK AND MILK INDUSTRIES
P : SUGAR BEET</t>
  </si>
  <si>
    <t>S : NON FERROUS METALS INDUSTRIES
P : SALT SLAG</t>
  </si>
  <si>
    <t>S : SLAUGHTERHOUSES AND ANIMAL BY PRODUCTS INDUSTRIES
P : SHEEP SLAUGHTER PROCESS</t>
  </si>
  <si>
    <t>S : ORGANIC CHEMICALS
P : VYNIL CHLORIDE MONOMER MANUFACTURING</t>
  </si>
  <si>
    <t>S : PRODUCTION OF PULP PAPER AND BOARD
P : THE KRAFT PULPING PROCESS</t>
  </si>
  <si>
    <t>S : LIME
P : LIME MANUFACTURING MIXED FEED SHAFT KILN</t>
  </si>
  <si>
    <t>S : ORGANIC CHEMICALS
P : STYRENE MANUFACTURING BY HYDROGENATION</t>
  </si>
  <si>
    <t>S : INORGANIC CHEMICALS
P : SODIUM CHLORATE PRODUCTION</t>
  </si>
  <si>
    <t>S : STEEL
P : BLAST FURNACES MANUFACTURING</t>
  </si>
  <si>
    <t>S : FOOD DRINK AND MILK INDUSTRIES
P : STRACH</t>
  </si>
  <si>
    <t>S : NON FERROUS METALS INDUSTRIES
P : ALUMINA PRODUCTION</t>
  </si>
  <si>
    <t>S : WASTE INCINERATION
P : THERMAL TREATMENT H</t>
  </si>
  <si>
    <t>1 018 000 t/y</t>
  </si>
  <si>
    <t>Extract sulphuric acid from non ferrous metals smelting and treat it to be compliant for recycling in sulfate process</t>
  </si>
  <si>
    <t>Around 3 300 000 t/y</t>
  </si>
  <si>
    <t>The aim of this synergy is to recover sulphuric acid, as a by-product of lead and tin process production in non-ferrous metals industries, and provide sulphate process in inorganic chemical industries.
There are 33 lead and tin production referenced installations in European Union. European annual lead and tin production is around 1 770 000 t/year.
A lead and tin production plant generates 100 000 t of sulphuric acid /y.
There are 19 titanium dioxide production referenced installations in European Union. 5 are  sulphate process. European annual sulphate process production is around 465 000 t/year. These process require between 2430 and 4394 kg of sulphuric acid / tonne of titanium dioxide produced. The sulphuric acid annual demand is between 1 129 950 and 2 043 210 t/y.</t>
  </si>
  <si>
    <t>Extract sulphuric acid from non ferrous metals lead an tin production process and treat it to be compliant for recycling in sulfate process</t>
  </si>
  <si>
    <t>S : INORGANIC CHEMICALS
P : CALCIUM CARBIDE MANUFACTURING</t>
  </si>
  <si>
    <t>1 002 000 t/y</t>
  </si>
  <si>
    <t>The aim of this synergy is to recover lime used as cleaning element in sugar production from beet in food and milk industries, and provide inorganic chemical industries which produce calcium carbide.
There are 129 sugar production referenced installations in European Union. European annual sugar production is around 16 700 000 t/year.
A sugar beet production plants generate 7 767 t of sulphuric acid/y.
European annual calcium carbide production is around 2 210 000 t/year. These process require 950 kg of lime / tonne of calcium carbide produced. The associated lime annual demand is around 2 099 500 t/y.</t>
  </si>
  <si>
    <t xml:space="preserve">Recover lime from sugar production process and treat it to be compliant with standard lime used in clacium carbide production.  </t>
  </si>
  <si>
    <t>1 240 000 - 3 410 000 t/y</t>
  </si>
  <si>
    <t>Recover salt from salt slag and treat it to be compliant with standard salt required for sodium chlorate production</t>
  </si>
  <si>
    <t>68 127 t/y</t>
  </si>
  <si>
    <t>Recover salt from sheep slaughterhouses and treat it to be compliant with standard slat required for sodium chlorate production</t>
  </si>
  <si>
    <t>829 - 1658 t/y</t>
  </si>
  <si>
    <t>Recover pure coke or recover coke residues</t>
  </si>
  <si>
    <t>252 000 - 504 000 t/y</t>
  </si>
  <si>
    <t>Recover lime from kraft pulping process and treat it to be compliant with standard lime used in electrcal arc furnace</t>
  </si>
  <si>
    <t>S : WASTE INCINERATION
P : FLUE GAS TREATMENT NH</t>
  </si>
  <si>
    <t>S : PRODUCTION OF PULP PAPER AND BOARD
P : THE SULPHITE PULPING PROCESS</t>
  </si>
  <si>
    <t>211 420 - 453 060 t/y</t>
  </si>
  <si>
    <t>The aim of this synergy is to recover sulfuric acid from coke ovens emissions and provide sulphite pulping process.
There are 38 coke oven plants in European Union. They produce 50 340 000 t of coke /y.
Coke ovens process generates dusts (15,7 - 298 g/t of coke produced) composed by sulfuric acid gas. Coke ovens produce between 4,2 and 9 kg of H2SO4/T of coke. The associated annual production is between 211 420 and 453 060 t of H2SO4/y or 5 564 and 11 922 t of H2SO4/y/plant. (In case of SO2 absorption and H2SO4 production as the final by-product)
Sulphite process are H2SO4 consumers.
There are 192 pulp and paper production plants with a global annual production of 41 800 000 t/y. 16 of them use sulphite process and require 4 kg of H2SO4 / ADT. The annual demand is 8 800 t/y (550 t/site)</t>
  </si>
  <si>
    <t>Recover sulfuric acid gas from coke oven plant emissions</t>
  </si>
  <si>
    <t>S : REFINING MINERAL OIL AND GAS
P : ISOMERISATION PROCESS</t>
  </si>
  <si>
    <t>156 500 t/y</t>
  </si>
  <si>
    <t>Recover hydrogen gas and purify it</t>
  </si>
  <si>
    <t>6 183 - 19 236 t/y</t>
  </si>
  <si>
    <t>S : REFINING MINERAL OIL AND GAS
P : HYDRODESULPHURISATION PROCESS</t>
  </si>
  <si>
    <t>7 000 000 000 - 100 000 000 000 t/y</t>
  </si>
  <si>
    <t>S : NON FERROUS METALS INDUSTRIES
P : COBALT PRODUCTION</t>
  </si>
  <si>
    <t>70 - 8156 t/y</t>
  </si>
  <si>
    <t>First approach : recover raw pure metal for new process or direct selling. 
Second approach : recover nickel residues to mix with other product and  create alloy</t>
  </si>
  <si>
    <t>45 306 - 100 680 t/y</t>
  </si>
  <si>
    <t>Recover sulphur and treat it to be compliant for recycling in sulpite pulping process</t>
  </si>
  <si>
    <t>S : GLASS
P : CONTAINER GLASS MANUFACTURING WITHOUT ABATEMENT SYSTEM</t>
  </si>
  <si>
    <t>132 368 - 1 886 244 t/y</t>
  </si>
  <si>
    <t>The aim of this synergy is to recover refractory products from EAF to used them on glass industries for container glass manufacturing.
Electrical arc furnace is direct smelting scrap steelmaking route. This technology is now widely used in European Union with 231 referenced installations. European annual EAF steel production is around 83 000 000 t/year. 
EAF generate 1,2 to 22,8 kg of refractory product per tons of liquid steel. The associated refractory products annual volume is between 132 368 and 1 886 244 tons. (573 - 8165 t/site).
Glass industries are refractory products consumers.
There are 175 container glass production facilities with a global melted glass annual production of 21 589 000 t/y (123 365 t/site). They require between 5 and 10 kg of refractory products / t of melted glass. The annual demand is between 107 945 and 215 890 t/y.</t>
  </si>
  <si>
    <t>Are refractory products from steel industries compliant with refractory products used in Glass industries ?</t>
  </si>
  <si>
    <t>S : GLASS
P : STONE AND SLAG WOOL MANUFACTURING</t>
  </si>
  <si>
    <t>Recover and transport slag</t>
  </si>
  <si>
    <t>40 302 648 - 52 326 000 t/y</t>
  </si>
  <si>
    <t>The aim of this synergy is to recover blast furnace slag to provide glass sector for stone and slag wool manufacturing.
Blast furnace is a widely used steelmaking process with 86 installations in European Union. Blast furnaces annual production is 116 280 000 t/y of hot metal (1 352 093 t/site). Blast furnaces generate 347 and 450 kg of slag /t of hot metal. The annual slag production is between 40 302 648 and 52 326 000 t/y (468 635 - 608 441 t/y/site).
Glass sector is a slag consumer.
There are 64 stone and slag wool manufacturing processes. 3 654 000 T of stone and slag wool are produced each year. (57 094t/site). Slag is one of the raw material used.</t>
  </si>
  <si>
    <t>The aim of this synergy is to recover lime from sugar beet production process to provide cement raw material preparation.
129 plants produce sugar from beet. The annual associated sugar production is around 16 700 000 t/y (129 457 t/site). Sugar beet industries generate 60 kg of lime/t of sugar which is equivalent to 1 002 000 t of lime per year.
Cement industries are lime consumers. Lime provide calcium supply for clinker raw material preparation. There are 268 plants in Europe Union.  clinker annual production is 118 Mt/y. Clinker raw material preparation can use lime as a calcium supply.</t>
  </si>
  <si>
    <t>Lime recovery for calcium supply</t>
  </si>
  <si>
    <t>418 000 - 836 000 t/y</t>
  </si>
  <si>
    <t>61 360 - 583 983 t/y</t>
  </si>
  <si>
    <t>Sludge recovery for calcium and aluminium supply</t>
  </si>
  <si>
    <t>16 587 - 77 406  t/y</t>
  </si>
  <si>
    <t>Sand recovery</t>
  </si>
  <si>
    <t xml:space="preserve">3 720 000 - 9 300 000 t/y </t>
  </si>
  <si>
    <t>Red mud recovery for Fe supply</t>
  </si>
  <si>
    <t>Recover  and transport blast furnace slag as a silicium alumina and calcium supply</t>
  </si>
  <si>
    <t>2 976 000 - 4 216 000 t/y</t>
  </si>
  <si>
    <t>Recover aluminium oxyde</t>
  </si>
  <si>
    <t>The aim of this synergy is to recover aluminium oxides from non ferrous metals salt slag process and provide stone and slag wool manufacturing.
There are 18 aluminium production referenced installations in European Union. European annual aluminium production is around 6 200 000 t/year (344 444 t/site).
Salt slag process generates between 480 and 680 kg of aluminium oxides/t of salt slag. The associated aluminium oxides production is 2 976 000 - 4 216 000 t/y (165 333 - 234 222 t/site).
Glass sector is a aluminium oxides consumer.
There are 64 stone and slag wool manufacturing processes. 3 654 000 T of stone and slag wool are produced each year. (57 094t/site).</t>
  </si>
  <si>
    <t>S : STEEL
P : PELLETISATION PLANTS MANUFAACTURING</t>
  </si>
  <si>
    <t>225 760 - 669 120 t/y</t>
  </si>
  <si>
    <t>4 963 800  - 22 337 100 t/y</t>
  </si>
  <si>
    <t>Recover and transport EF slag as a silicium alumina and calcium supply</t>
  </si>
  <si>
    <t>Recover Lime</t>
  </si>
  <si>
    <t>S : ORGANIC CHEMICALS
P : EHTYLBENZENE MANUFACTURING</t>
  </si>
  <si>
    <t>266 802 - 704 760 t/y</t>
  </si>
  <si>
    <t xml:space="preserve">The aim of this synergy is to benzene from coke ovens and provide ethylbenzene manufacturing.
There are 38 coke oven plants in European Union. They produce 50 340 000 t of coke /y. (1 324 736 T/site)
Coke ovens process generates 5,3 to 14 kg of benzene / t of coke. The annual benzene volume is between 266 802 - 704 760 t/y. (7 021 - 18546 t/site).
There are 10 ethylbenzene production sites which produce 6 055 000 t of ethylbenzene /y (605 500 t/y per site). They require 735 - 746 kg of benzene/t of ethylbenzene produced. The associated annual benzene demand is between 4 448 955 - 4 515 538 t/y. </t>
  </si>
  <si>
    <t>Recover benzene and direct use</t>
  </si>
  <si>
    <t>S : INORGANIC CHEMICALS
P : PRECIPITATED SILICA AND SILICA GEL MANUFACTURING</t>
  </si>
  <si>
    <t>100 000 t/y</t>
  </si>
  <si>
    <t>Recover sulphuric acid</t>
  </si>
  <si>
    <t>NON-FERROUS METALS</t>
  </si>
  <si>
    <t>ASHES</t>
  </si>
  <si>
    <t>S : REFINING MINERAL OIL AND GAS
P : CRUDE ATMOSPHERIC DISTILLATION</t>
  </si>
  <si>
    <t>S : NON FERROUS METALS INDUSTRIES
P : SECONDARY COPPER SMELTING PYROMETALLURGICAL ROUTE</t>
  </si>
  <si>
    <t>Recover slag for non-ferrous metals supply</t>
  </si>
  <si>
    <t>87 040 - 284 240 t/y</t>
  </si>
  <si>
    <t>Recover ash and extract non-ferrous metals</t>
  </si>
  <si>
    <t>253 000 - 730 000 t/y</t>
  </si>
  <si>
    <t>Recover refining sludges and extract non-ferrous metals</t>
  </si>
  <si>
    <t>61 360 - 322 672 t/y</t>
  </si>
  <si>
    <t>Recover sinter plants sludges and extract non-ferrous metals</t>
  </si>
  <si>
    <t>BLAST FURNACE GAS</t>
  </si>
  <si>
    <t>BASIC OXYGEN FURNACE GAS</t>
  </si>
  <si>
    <t>S : NON FERROUS METALS INDUSTRIES
P : PRIMARY ALUMINIUM CASTHOUSE</t>
  </si>
  <si>
    <t>Recover sand</t>
  </si>
  <si>
    <t>69 - 687 t/y</t>
  </si>
  <si>
    <t>Do sludges from sodium chlorate production have an interest for non-ferrous metals industries ?</t>
  </si>
  <si>
    <t>S : COMBUSTION PLANT
P : IRON AND STEEL PROCESS GASES COMBUSTION</t>
  </si>
  <si>
    <t>Recover and make COG compliant for combustion plants</t>
  </si>
  <si>
    <t>139 536 000 000 - 232 560 000 000 Nm3/y</t>
  </si>
  <si>
    <t>Recover and make BF gas compliant for combustion plants</t>
  </si>
  <si>
    <t>43 148 000 000 - 64 722 000 000 MJ/y</t>
  </si>
  <si>
    <t>Recover and make BOF gas compliant for combustion plants</t>
  </si>
  <si>
    <t>LIMESTONE FINES</t>
  </si>
  <si>
    <t>S : INORGANIC CHEMICALS
P : SOLVAY PROCESS</t>
  </si>
  <si>
    <t>450 000 - 2 475 000 t/y</t>
  </si>
  <si>
    <t>Recover limestone of limestone fines</t>
  </si>
  <si>
    <t xml:space="preserve"> Part of 675 214 - 1 576 000 t/y (include slurry)</t>
  </si>
  <si>
    <t>ELECTROLYTE BLEED</t>
  </si>
  <si>
    <t>ACID</t>
  </si>
  <si>
    <t>Ni
COBALT
ALULMINIUM
ZINC</t>
  </si>
  <si>
    <t>S : CERAMIC
P : ELECTROPORCELAIN MANUFACTURING</t>
  </si>
  <si>
    <t>S : WASTE TREATMENTS INDUSTRIES
P : PHYSICO CHEMICAL TREATMENTS</t>
  </si>
  <si>
    <t>Separate acid and nickel for recovery</t>
  </si>
  <si>
    <t>First approach : recover raw pure non-ferrous (Ni, cobalt, aluminium, zinc) metals for new process or direct selling. 
Second approach : recover non-ferrous metals residues to mix with other product and create alloy</t>
  </si>
  <si>
    <t>NH3</t>
  </si>
  <si>
    <t>S : REFINING MINERAL OIL AND GAS
P : VACUUM DISTILLATION</t>
  </si>
  <si>
    <t>S : REFINING MINERAL OIL AND GAS
P : GAS SEPARATION PROCESSES</t>
  </si>
  <si>
    <t>S : FERTILISERS
P : NPK FERTILISER PRODUCTION</t>
  </si>
  <si>
    <t>Recover amonia</t>
  </si>
  <si>
    <t>S : FERTILISERS
P : UREA PRODUCTION</t>
  </si>
  <si>
    <t>FILTER DUST</t>
  </si>
  <si>
    <t>S : NON FERROUS METALS INDUSTRIES
P : PRIMARY ALUMINIUM</t>
  </si>
  <si>
    <t>S : WASTE INCINERATION
P : THERMAL TREATMENT NH</t>
  </si>
  <si>
    <t>S : ORGANIC CHEMICALS
P : PHENOL MANUFACTURING</t>
  </si>
  <si>
    <t>207 - 72450 t/y</t>
  </si>
  <si>
    <t>The aim of this synergy is to separate then recover acid and dust from filter dust, as a by-product of copper primary smelting route, and provide phenol manufacturing.
There are 104 copper production referenced installations in European Union. European annual copper production is around 4 800 000 t/year (46 153 tons per site).
Secondary copper smelting pyrometallurgical route generates between 207 and 72450 tons of filter dust. This by-product is composed by two fractions : acid and dust.
Acid can be used in phenol manufacturing industries.
8 referenced plants produce 2 816 000 tons of phenol (352 000 per site) and require acid.</t>
  </si>
  <si>
    <t>The aim of this synergy is to separate then recover acid and nickel from electrolyte bleed, as a by-product of copper secondary smelting route, and provide phenol manufacturing.
There are 104 copper production referenced installations in European Union. European annual  copper production is around 4 800 000 t/year (46 153 tons per site).
Secondary copper smelting pyrometallurgical route generates electrolyte bleed. This by-product is composed by two fractions : acid and nickel.
Acid can be used in phenol manufacturing industries.
8 referenced plants produce 2 816 000 tons of phenol (352 000 per site) and require acid.</t>
  </si>
  <si>
    <t>Recover non-ferrous metals</t>
  </si>
  <si>
    <t>NUTRIENTS
NITROGEN
PHOSPHORUS
POTASSIUM
MAGNESIUM
CALCIUM</t>
  </si>
  <si>
    <t>S : WASTE WATER TREATMENT INDUSTRIES
P : DRINKING_WATER_TREATMENT_PROCESS</t>
  </si>
  <si>
    <t>S : FERTILISERS
P : CAN PRODUCTION</t>
  </si>
  <si>
    <t>UNKNOW</t>
  </si>
  <si>
    <t>BREF
BEST PRACTICES</t>
  </si>
  <si>
    <t>Recover nutrients (nitrogen, phosphorus, potassium, magnesium and calcium)</t>
  </si>
  <si>
    <t>WASTE PLASTICS (AMP)</t>
  </si>
  <si>
    <t>S : ENGINEERING
P : PLASTIC PART MANUFACTURING</t>
  </si>
  <si>
    <t>BEST PRACTICES</t>
  </si>
  <si>
    <t>Recycle waste plastic and make it compliant with blast media production</t>
  </si>
  <si>
    <t>YEAST SLUDGE AND SLURRY</t>
  </si>
  <si>
    <t>YEAST
NUTRIENTS</t>
  </si>
  <si>
    <t>S : PHARMACEUTICAL
P : FERMENTATION PROCESS</t>
  </si>
  <si>
    <t>S : AGRO-INDUSTRIAL PRODUCTION
P : LIVESTOCK FEEDING</t>
  </si>
  <si>
    <t>The aim of this synergy is to recover yeast slurry from pharmaceuticals plants and provide food for animal farming.
Some pharmaceutical plants produce insulin through a fermentation process, where yeast cells grow primarily on sugar and vitamins. When the fermentation process is finalized, and insulin is fractionated out, a nutritional mixture called yeast slurry is retained. This fraction can be sent to pig farm.</t>
  </si>
  <si>
    <t>Recover yeast slurry fraction and treat it to be compliant for animal feeding</t>
  </si>
  <si>
    <t>POULTRY DEJECTIONS</t>
  </si>
  <si>
    <t>EXTRACELLULAR ENZYMES</t>
  </si>
  <si>
    <t>S : AGRO-INDUSTRIAL PRODUCTION
P : INTENSIVE_POULTRY_FARMING</t>
  </si>
  <si>
    <t xml:space="preserve">S : TEXTILE
P : TANNING </t>
  </si>
  <si>
    <t>Recover poultry dejections</t>
  </si>
  <si>
    <t>SILICA</t>
  </si>
  <si>
    <t>S : MINERALS
P : MICRONIZED_SILICA_MANUFACTURING</t>
  </si>
  <si>
    <t>S : INORGANICS_CHEMICAL
P : SODIUM SILICATE MANUFACTURING</t>
  </si>
  <si>
    <t>23 t/y/site</t>
  </si>
  <si>
    <t>The aim of this synergy is to recover silica from micronized silica manufacturing and provide inorganic chemical industries for sodium silicate, pyrogenic silica, precipitated silica and silica gel manufacturing.
This synergy is based on a real planned case. The micronized silica manufacturer generate 23 tons of silica by-product per year.
This by-product can be reuse in inorganic chemical industrial site.</t>
  </si>
  <si>
    <t>Recover silica</t>
  </si>
  <si>
    <t>S : REFINING MINERAL OIL AND GAS
P : HYDRODESULPHURISATION_PROCESS</t>
  </si>
  <si>
    <t>S : FERTILISERS
P : ATS_FERTILISER</t>
  </si>
  <si>
    <t>Recover sulphur</t>
  </si>
  <si>
    <t>BLAST FURNACE AND CONVERTER SLAG</t>
  </si>
  <si>
    <t>BLAST FURNACE SLAG</t>
  </si>
  <si>
    <t>S : STEEL
P : BLAST_FURNACES_MANUFACTURING</t>
  </si>
  <si>
    <t>S : CERAMIC
P : BRICKS_AND_ROOF_TILES_MANUFACTURING</t>
  </si>
  <si>
    <t xml:space="preserve"> 40 302 648 - 52 326 000 t/y
Real case : 1 275 000 t/y</t>
  </si>
  <si>
    <t>Recover BF slag as a mineral source</t>
  </si>
  <si>
    <t>COOLING WATER</t>
  </si>
  <si>
    <t>S : COMBUSTION_PLANT
P : COAL_COMBUSTION</t>
  </si>
  <si>
    <t>Reuse cooling water</t>
  </si>
  <si>
    <t>FLY ASH</t>
  </si>
  <si>
    <t>S : COMBUSTION_PLANT
P : INTEGRATED_GASIFICATION_COMBINED_CYCLE</t>
  </si>
  <si>
    <t>S : GLASS
P : CONTAINER_GLASS_MANUFACTURING_WITH_ABATEMENT_SYSTEM</t>
  </si>
  <si>
    <t>38 000 t/y/ site for a coal power plan</t>
  </si>
  <si>
    <t>The aim of this synergy is to recover fly ash and provide glass manufacturing.
Integrated gasification combined cycle combustion plants generate fly ash. Fly ash can be used as a Si, Al and Ca source in order to replace carbonates and silica sand glass manufacturing.
Container glass manufacturing require 400 000 - 8 000 000 tons of silica sand, 800 000 - 13 200 000 tons of silica sand and 40 000 - 1 000 000 tons of mineral ingredients. The mineral demand which can be replaced by fly ash is 1 240 000 - 22 200 00 tons per year.</t>
  </si>
  <si>
    <t>Extract mineral products (silicium, calcium, aluminium) from fly ash</t>
  </si>
  <si>
    <t>38 000 t/y/site</t>
  </si>
  <si>
    <t>The aim of this synergy is to recover fly ash and provide brick and roof tiles manufacturing.
950 coal combustion plants are referenced in European Union. These plants generate fly ash. Fly ash can be used as a Si, Al and Ca source in order to replace clay for bricks and roof tiles manufacturing.
1022 brick and roof tiles manufacturing are referenced in European Union. 55 000 000 tons of bricks and roof tiles are produced per year. It require 350 kg of clay per ton of bricks and roof tiles produced. The annual clay demand is 19 250 000 tons per year (18 836 tons per site).</t>
  </si>
  <si>
    <t>HCl</t>
  </si>
  <si>
    <t>S : INORGANIC_CHEMICALS
P : UNDEFINED</t>
  </si>
  <si>
    <t>10 565,5 t/y including Sodium Hydroxide/Hydrochloric Acid/Sodium Silicate</t>
  </si>
  <si>
    <t>Recover Hcl</t>
  </si>
  <si>
    <t>TAR</t>
  </si>
  <si>
    <t>S : ORGANIC_CHEMICALS
P : HYDROGEN_PEROXIDE_MANUFACTURING</t>
  </si>
  <si>
    <t>S : COMBUSTION_PLANT
P : WASTE_CO-INCINERATION</t>
  </si>
  <si>
    <t>1 110 - 3 415 t/y</t>
  </si>
  <si>
    <t>Recover tar for burning</t>
  </si>
  <si>
    <t>S : ORGANIC_CHEMICALS
P : STYRENE_MANUFACTURING_BY_HYDROGENATION</t>
  </si>
  <si>
    <t>5 284 000 t/y</t>
  </si>
  <si>
    <t>The aim of this synergy is to recover tars from styrene manufacturing by hydrogenation and provide cement and clinker kiln for burning.
There are 11 styrene production referenced installations in European Union. European annual styrene production is 5 284 000 t/y or 480 450 t/y/site. It generates between 453,9 kg of tars per ton of styrene produce. The associated annual tars production is equivalent to 2 400 000 t/y (218 126t /site)
There are 268 cement plants in Europe Union which produce 118 Mt/y of clinker and 157 mT/y of grey cement. Carbon waste are used in clinker and cement kiln. Tars are a significant part of carbon waste used in cement industries.</t>
  </si>
  <si>
    <t>SPENT_SOLVENTS</t>
  </si>
  <si>
    <t xml:space="preserve"> 4 695 - 18 780 t/y</t>
  </si>
  <si>
    <t>The aim of this synergy is to recover spent solvents from styrene production and provide cement and clinker kiln for burning.
There are 7 styrene production referenced installations in European Union. European annual styrene production is 3 130 000 t/y or 447 142 t/y/site. It generates between 1,5 and 6 kg of spent solvent per ton of styrene produce. The associated annual spent solvent production is equivalent to 4 695 - 18 780 t/y (426 - 1 707 t /site)
There are 268 cement plants in Europe Union which produce 118 Mt/y of clinker and 157 mT/y of grey cement. Solvent and related waste are used for burning in clinker and cement kiln</t>
  </si>
  <si>
    <t>Recover spent solvent for burning</t>
  </si>
  <si>
    <t>OIL</t>
  </si>
  <si>
    <t>S : REFINING_MINERAL_OIL_AND_GAS
P : CRUDE_ATMOSPHERIC_DISTILLATION</t>
  </si>
  <si>
    <t>Sperate fractions and recover oil from waste water (possibilty to recover phenol and mercaptians)</t>
  </si>
  <si>
    <t>WOOD WASTE
BARK
SAWDUST</t>
  </si>
  <si>
    <t>SOIL AND GREEN WASTES</t>
  </si>
  <si>
    <t>S : PRODUCTION_OF_PULP_PAPER_AND_BOARD
P : THE_SULPHITE_PULPING_PROCESS</t>
  </si>
  <si>
    <t>S : FOOD_DRINK_AND_MILK_INDUSTRIES
P : SUGAR_BEET</t>
  </si>
  <si>
    <t>327 200 t/y</t>
  </si>
  <si>
    <t>Recover wood wastes</t>
  </si>
  <si>
    <t>3 841 000 t/y</t>
  </si>
  <si>
    <t>Recover sludge for inceration</t>
  </si>
  <si>
    <t>S : ORGANIC_CHEMICALS
P : VYNIL_CHLORIDE_MONOMER_MANUFACTURING</t>
  </si>
  <si>
    <t>580 - 17 415 t/y</t>
  </si>
  <si>
    <t>S : REFINING_MINERAL_OIL_AND_GAS
P : VISBREAKING_PROCECSS</t>
  </si>
  <si>
    <t>S : NON_FERROUS_METALS_INDUSTRIES
P : WAELZ_KILN_OPERATION</t>
  </si>
  <si>
    <t>Sperate fractions and recover oil from waste water (possibilty to valorise other fractions)</t>
  </si>
  <si>
    <t>CARCASE</t>
  </si>
  <si>
    <t>S : SLAUGHTERHOUSES_AND_ANIMAL_BY_PRODUCTS_INDUSTRIES
P : POULTRY_SLAUGHTER_PROCESS</t>
  </si>
  <si>
    <t>3 906 900 t/y</t>
  </si>
  <si>
    <t>Recover and transport carcasse to cement plants</t>
  </si>
  <si>
    <t>WOOD</t>
  </si>
  <si>
    <t>S : LIME
P : LIME_MANUFACTURING_LONG_ROTARY_KILN</t>
  </si>
  <si>
    <t>The aim of this synergy is to recover waste wood from pulp and paper production sector, and provide combustion plants.
Wood waste refers to barks, sawdust and other wood waste.
There are 16 sulphite pulping process referenced installations in European Union which produce 2 200 000 t of pulp /y. This process generate 198 000 tons of bark and 66 000 - 110 000 tons of sawdust per year.
There are 77 kraft pulping processes referenced installations in European Union which produce 25 200 000 t of pulp /y. This process generate 151 200 tons of wood waste per year.
Long rotary kiln in lime manufacturing sector are wood consumers for combustion.</t>
  </si>
  <si>
    <t>S : INORGANIC_CHEMICALS
P : FURNACE_BLACK_PROCESS</t>
  </si>
  <si>
    <t>The aim of this synergy is to recover oil from crude atmospheric distillation waste water and provide furnace black process in inorganic chemicals.
110 crude atmospheric distillation processes are referenced in European Union. They produce 864 000 0000 m3 of petroleum products / per year (7 854 543 m3/site). These processes generate 0,08 - 0, 75 m3 of waste water per ton of final product. Waste water from crude atmospheric distillation is composed by five fractions : phenol, mercaptans, chlorides, H2S and oil.
There are 24 furnace black processes in European Union which produce 1 745 000 tons of carbon black (72 708 tons per site) and require 2 800 000 tons of oil per year</t>
  </si>
  <si>
    <t>S : REFINING_MINERAL_OIL_AND_GAS
P : CATALYTIC_CRACKING_FCC_PROCESS</t>
  </si>
  <si>
    <t>4 430 t/y</t>
  </si>
  <si>
    <t>Extract precious metals</t>
  </si>
  <si>
    <t>S : STEEL
P : ELECTRIC_ARC_FURNACE_STEELMAKING_AND_CASTING_MANUFACTURING</t>
  </si>
  <si>
    <t>Extract Cr from green liquor sludge</t>
  </si>
  <si>
    <t>S : ORGANIC CHEMICALS
P : METAL OXIDE PROCESS</t>
  </si>
  <si>
    <t>36 - 216 t/y</t>
  </si>
  <si>
    <t>Extract Pt from spent catalyst</t>
  </si>
  <si>
    <t>S : NON_FERROUS_METALS_INDUSTRIES
P : SECONDARY_COPPER_SMELTING_PYROMETALLURGICAL_ROUTE</t>
  </si>
  <si>
    <t>448 kg/y</t>
  </si>
  <si>
    <t>The aim of this synergy is to recover Sb precious metals from lime mixed feed shaft kiln and provide non-ferrous metals industries.
There are 116 mixed feed shaft kiln in European Union. The associated lime annual production is around 2 240 000 tons per year or 19 310 tons per year and per site. A mixed shaft kiln generate 0,003 to more than 1,3 kg of dusts per ton of lime produces. Heavy metals are part of emissions. 200 mg of Antimony are emitted per ton of lime produce. The Antimony annual emitted volume is  448kg.
Non-ferrous metals industries are precious metals consumers (Antimony in particular)</t>
  </si>
  <si>
    <t>S : NON_FERROUS_METALS_INDUSTRIES
P : ALUMINA_PRODUCTION</t>
  </si>
  <si>
    <t>209 576 - 2 644 356 t/y</t>
  </si>
  <si>
    <t xml:space="preserve">Extract Al2O3 </t>
  </si>
  <si>
    <t>S : CERAMIC
P : ELECTROPORCELAIN_MANUFACTURING</t>
  </si>
  <si>
    <t>Pd</t>
  </si>
  <si>
    <t>Cr</t>
  </si>
  <si>
    <t>Pt</t>
  </si>
  <si>
    <t>Rh</t>
  </si>
  <si>
    <t>Sb</t>
  </si>
  <si>
    <t>Al2O3</t>
  </si>
  <si>
    <t>19 - 21 t/y</t>
  </si>
  <si>
    <t>S : REFINING MINERAL OIL AND GAS
P : ALL PROCESSES</t>
  </si>
  <si>
    <t>The aim of this synergy is to reuse refining mineral oil and gas plants cooling water to supply a combustion plant cooling system. This case is a Kalendborg industrial symbiosis existing solution.
Used cooling water is a residue from Statoil, and is by origin surface water from Lake Tissø, that has been used for cooling in a closed pipe system at the refinery. The water has therefore not been polluted, and is send back to Ørsted for steam production at Asnæsværket. This means that the amount of water collected from Lake Tissø is reduced,  and energy is saved because the used cooling water has a higher temperature that surface water from Lake Tissø, and is easier heated to steam.
Refining cooling systems are often closed pipe and supply all process which require cooling.
As an example, in refining industries, vacuum distillation process generate 3 - 5 m3 of used cooling water per ton of atmospheric residues. The temperature process is between 335 and 400 °C and the cooling water temperature change is around 17°C.</t>
  </si>
  <si>
    <t>S : PRODUCTION_OF_PULP_PAPER_AND_BOARD
P : MECHANICAL_PULPING_AND_CHEMIMECHANICAL_PULPING</t>
  </si>
  <si>
    <t>S : REFINING_MINERAL_OIL_AND_GAS
P : ALL_PROCESSES</t>
  </si>
  <si>
    <t>S : FERTILISERS
P : CAN_PRODUCTION</t>
  </si>
  <si>
    <t>274 045 m3/y</t>
  </si>
  <si>
    <t>HEAT</t>
  </si>
  <si>
    <t>The aim of this synergy is to recover heat and directly reuse it in nearby other industrial sites or for urban heating.</t>
  </si>
  <si>
    <t>STRANE METHODOLOGY
BEST PRACTICES</t>
  </si>
  <si>
    <t>The aim of this synergy is to recover heat for electricity producing</t>
  </si>
  <si>
    <t>STEAM</t>
  </si>
  <si>
    <t>The aim of this synergy is to recover steam and produce electricity</t>
  </si>
  <si>
    <t>Recover heat and produce electricity</t>
  </si>
  <si>
    <t>Recover steam and produce electricity</t>
  </si>
  <si>
    <t>The aim of this synergy is to recover steam and directly reuse it in nearby other industrial sites.</t>
  </si>
  <si>
    <t>Recover heat and supply it for a direct reuse</t>
  </si>
  <si>
    <t>Recover steam and supply it for a direct reuse</t>
  </si>
  <si>
    <t>Various waste - See table n°</t>
  </si>
  <si>
    <t>S : WASTE TREATMENTS INDUSTRIES
P : WASTE TREATMENT AIMED PRODUCE MATERIAL USED AS FUEL</t>
  </si>
  <si>
    <t>The purpose of this synergy is to recover all types of solid combustible waste and send it to waste treatment industries to produce conventional fuels.</t>
  </si>
  <si>
    <t>The purpose of this synergy is to recover all types of liquid combustible waste and send it to waste treatment industries to produce conventional fuels.</t>
  </si>
  <si>
    <t>Transform liquid wastes to conventional fuels</t>
  </si>
  <si>
    <t>Transform solid wastes to conventional fuels</t>
  </si>
  <si>
    <t>VARIOUS STATE OF MATTER : See table n°</t>
  </si>
  <si>
    <t>4 475 965 t/y</t>
  </si>
  <si>
    <t>BITUMEN</t>
  </si>
  <si>
    <t>201 286 t/y</t>
  </si>
  <si>
    <t>GAS OIL</t>
  </si>
  <si>
    <t>270 147 t/y</t>
  </si>
  <si>
    <t>3 739 682 t/y</t>
  </si>
  <si>
    <t xml:space="preserve">9 002 860 - 15 755 005 t/y </t>
  </si>
  <si>
    <t>WATER ELECTROPORCELAIN AFTER FLOCCULATION</t>
  </si>
  <si>
    <t>SLAG ASH</t>
  </si>
  <si>
    <t>PRECIOUS METALS</t>
  </si>
  <si>
    <t>GREEN LIQUOR SLUDGE</t>
  </si>
  <si>
    <t>SPENT CATALYST METAL OXIDE</t>
  </si>
  <si>
    <t>SPENT SOLVENTS</t>
  </si>
  <si>
    <t>WOOD WASTE</t>
  </si>
  <si>
    <t>SOLID WASTE FUEL FEEDSTOCK</t>
  </si>
  <si>
    <t>LIQUID WASTE FUEL FEEDSTOCK</t>
  </si>
  <si>
    <t>10 478 800 - 20 241 200</t>
  </si>
  <si>
    <t>Recover Gyspum from sulphate process and treat it to be compliant with standard gyspum used in grinding cement mill. A technology is required for red gypsum.</t>
  </si>
  <si>
    <t>HEAT/STEAM RECOVERY</t>
  </si>
  <si>
    <t>WASTE FOR FUEL PREPARATION</t>
  </si>
  <si>
    <t>Recover bottom ash and use it as a ferrous metals source</t>
  </si>
  <si>
    <t>SENDER SECTOR</t>
  </si>
  <si>
    <t>SENDER SUBSECTOR</t>
  </si>
  <si>
    <t>SENDER PROCESS</t>
  </si>
  <si>
    <t>CONTINUOUS /DISCONTINUOUS</t>
  </si>
  <si>
    <t>RECEIVER SECTOR</t>
  </si>
  <si>
    <t>RECEIVER SUBSECTOR</t>
  </si>
  <si>
    <t>RECEIVER PROCESS</t>
  </si>
  <si>
    <t>FLOW COMPOSITION</t>
  </si>
  <si>
    <t>ELEMENT MATCHING</t>
  </si>
  <si>
    <t>RESOURCE MATCHING</t>
  </si>
  <si>
    <t>N/A</t>
  </si>
  <si>
    <t>SOLID - PART OF EMISSIONS</t>
  </si>
  <si>
    <t>SOLID - METAL PARTICULES IN WATER</t>
  </si>
  <si>
    <t>HEAT MATCHING</t>
  </si>
  <si>
    <t>STEAM MATCHING</t>
  </si>
  <si>
    <t>Make oil compliant with receiver processes</t>
  </si>
  <si>
    <t>Make bitumen compliant with receiver processes</t>
  </si>
  <si>
    <t>Make methanol compliant with receiver processes</t>
  </si>
  <si>
    <t>Make gas oil  compliant with receiver processes</t>
  </si>
  <si>
    <t>QUERY TO IDENTIFY WASTES FOR FUEL PREPARATION</t>
  </si>
  <si>
    <t>QUERY TO IDENTIFY ALTERNATIVES FOR THE SUPPLY OF SECOND-LIFE FUELS</t>
  </si>
  <si>
    <t>FLOW CHARACTERISTICS</t>
  </si>
  <si>
    <t>STEEL</t>
  </si>
  <si>
    <t>COKE_OVEN_PLANTS</t>
  </si>
  <si>
    <t>50 340 000 t/y</t>
  </si>
  <si>
    <t>REFINING_MINERAL_OIL_AND_GAS</t>
  </si>
  <si>
    <t>HYDROCKRACKING</t>
  </si>
  <si>
    <t>HYDROCRACKING_PROCESS</t>
  </si>
  <si>
    <t>78 900 000 m3/y</t>
  </si>
  <si>
    <t>260 and 400 t of h2/t of feed</t>
  </si>
  <si>
    <t>Density: 0,5 kg/Nm3
LHV: 18 MJ/m3
Moisture: 10 %
Temperature: 1200 Cº</t>
  </si>
  <si>
    <t>H2: 55 %vol
CH4: 32 %vol
CxHy: 7 %vol
CO: 4 %vol
H2S: 5 g/Nm3
CO2: 2 %vol
BTX: 15 g/Nm3
NH3: 7 g/Nm3</t>
  </si>
  <si>
    <t>ISOMERISATION</t>
  </si>
  <si>
    <t>ISOMERISATION_PROCESS</t>
  </si>
  <si>
    <t>33 000 000 m3/y</t>
  </si>
  <si>
    <t>ORGANIC_CHEMICALS</t>
  </si>
  <si>
    <t>ETHYLACETATE_PRODUCTION</t>
  </si>
  <si>
    <t>ETHYLACETATE_PRODUCTION_PROCESS</t>
  </si>
  <si>
    <t>CEMENT</t>
  </si>
  <si>
    <t>DRY_PROCESS</t>
  </si>
  <si>
    <t>BURNING</t>
  </si>
  <si>
    <t>118 000 000 t/y</t>
  </si>
  <si>
    <t>LHV : 21 GJ/t</t>
  </si>
  <si>
    <t>Acetaldehyde 4 (wt%)
Water 5 (wt%)
Diethyl ether 22 (wt%)
Ethyl acetate 26 (wt%)
Acetic acid 35 (wt%)
ethyl propionate 5 (wt%)</t>
  </si>
  <si>
    <t>LOWER_OLEFINS</t>
  </si>
  <si>
    <t>STEAM_CRACKING</t>
  </si>
  <si>
    <t>25 323 650 t/y</t>
  </si>
  <si>
    <t>SINTER_PLANTS</t>
  </si>
  <si>
    <t>SINTER_PLANTS_MANUFACTURING</t>
  </si>
  <si>
    <t>400 000 t/y</t>
  </si>
  <si>
    <t>5 070 000 - 8 320 000 t/y</t>
  </si>
  <si>
    <t>LHV: 29,86 GJ/t</t>
  </si>
  <si>
    <t>Pure Coke</t>
  </si>
  <si>
    <t>ELECTRIC_ARC_FURNACE_STEELMAKING_AND_CASTING</t>
  </si>
  <si>
    <t>ELECTRIC_ARC_FURNACE_STEELMAKING_AND_CASTING_MANUFACTURING</t>
  </si>
  <si>
    <t>82 730 000 t/y</t>
  </si>
  <si>
    <t>NON_FERROUS_METALS_INDUSTRIES</t>
  </si>
  <si>
    <t>ZINC_AND_CADMIUM</t>
  </si>
  <si>
    <t>WAELZ_KILN_OPERATION</t>
  </si>
  <si>
    <t>225 000 t/y</t>
  </si>
  <si>
    <t>16 600 - 1 985 520 t/y</t>
  </si>
  <si>
    <t>603 000 t/y</t>
  </si>
  <si>
    <t>BASIC_OXYGEN_STEELMAKING_AND_CASTING</t>
  </si>
  <si>
    <t>BASIC_OXYGEN_STEELMAKING_AND_CASTING_MANUFACTURING</t>
  </si>
  <si>
    <t>123 280 000 t/y</t>
  </si>
  <si>
    <t>RAW_MATERIALS_PREPARATION</t>
  </si>
  <si>
    <t>Al2O3: 2- 13 Vol%
CaO: 42- 46 Vol%
Fe: 0- 17 Vol%
MgO: 6- 7 Vol%
MnO: 0- 5 Vol%
P2O5: 0- 2 Vol%
S: 0- 1 Vol%
SiO2: 11- 34 Vol%</t>
  </si>
  <si>
    <t>PRIMARY LIQUID FUEL</t>
  </si>
  <si>
    <t>COKE RESIDUES</t>
  </si>
  <si>
    <t>CONTINUOUS / DISCONTINOUS</t>
  </si>
  <si>
    <t>INORGANIC_CHEMICALS</t>
  </si>
  <si>
    <t>TITANIUM_DIOXIDE</t>
  </si>
  <si>
    <t>SULPHATE_PROCESS</t>
  </si>
  <si>
    <t>1527000 T/yr</t>
  </si>
  <si>
    <t>465000 T/yr</t>
  </si>
  <si>
    <t>GRINDDING_CEMENT_MILL</t>
  </si>
  <si>
    <t>267000000 T/yr</t>
  </si>
  <si>
    <t>157 MT/y</t>
  </si>
  <si>
    <t xml:space="preserve"> 7 850 000 t/y</t>
  </si>
  <si>
    <t>COMBUSTION_PLANT</t>
  </si>
  <si>
    <t>COMBUSTION_OF_SOLID_FUELS</t>
  </si>
  <si>
    <t>COAL_COMBUSTION</t>
  </si>
  <si>
    <t>868000 MWh/yr</t>
  </si>
  <si>
    <t>186000 T/yr</t>
  </si>
  <si>
    <t>COPPER</t>
  </si>
  <si>
    <t>PRIMARY_COPPER_SMELTING_PYROMETALLURGICAL_ROUTE</t>
  </si>
  <si>
    <t>4800000 T/yr</t>
  </si>
  <si>
    <t>4,8 MT/y</t>
  </si>
  <si>
    <t>1 129 950 - 2 043 210 t/y.</t>
  </si>
  <si>
    <t>ELEMENT : H2SO4</t>
  </si>
  <si>
    <t>LEAD_AND_TIN</t>
  </si>
  <si>
    <t>LEAD_AND_TIN_PRODUCTION</t>
  </si>
  <si>
    <t>1770000 T/yr</t>
  </si>
  <si>
    <t>1770000 T</t>
  </si>
  <si>
    <t>FOOD_DRINK_AND_MILK_INDUSTRIES</t>
  </si>
  <si>
    <t>SUGAR</t>
  </si>
  <si>
    <t>SUGAR_BEET</t>
  </si>
  <si>
    <t>16700000 T/yr</t>
  </si>
  <si>
    <t>16700000 T</t>
  </si>
  <si>
    <t>CALCIUM_CARBIDE</t>
  </si>
  <si>
    <t>CALCIUM_CARBIDE_MANUFACTURING</t>
  </si>
  <si>
    <t>2210000 T/yr</t>
  </si>
  <si>
    <t>2,2 MT/y</t>
  </si>
  <si>
    <t xml:space="preserve"> 2 099 500 t/y</t>
  </si>
  <si>
    <t>ELEMENT : Ca(OH)2</t>
  </si>
  <si>
    <t>ALUMINIUM</t>
  </si>
  <si>
    <t>SALT_SLAG</t>
  </si>
  <si>
    <t>6200000 T/yr</t>
  </si>
  <si>
    <t>200 kg/T</t>
  </si>
  <si>
    <t>SODIUM_CHLORATE</t>
  </si>
  <si>
    <t>SODIUM_CHLORATE_PRODUCTION</t>
  </si>
  <si>
    <t>687000 T/yr</t>
  </si>
  <si>
    <t>0,69 MT/y</t>
  </si>
  <si>
    <t>377 000 t/y</t>
  </si>
  <si>
    <t>ELEMENT : NaCl
ELEMENT : KCl</t>
  </si>
  <si>
    <t>SLAUGHTERHOUSES_AND_ANIMAL_BY_PRODUCTS_INDUSTRIES</t>
  </si>
  <si>
    <t>SHEEP_SLAUGHTER</t>
  </si>
  <si>
    <t>SHEEP_SLAUGHTER_PROCESS</t>
  </si>
  <si>
    <t>1746862 T/yr</t>
  </si>
  <si>
    <t xml:space="preserve">78092000 </t>
  </si>
  <si>
    <t>VYNIL_CHLORIDE_MONOMER</t>
  </si>
  <si>
    <t>VYNIL_CHLORIDE_MONOMER_MANUFACTURING</t>
  </si>
  <si>
    <t>8293000 T/yr</t>
  </si>
  <si>
    <t>7,7 MT/y</t>
  </si>
  <si>
    <t>BLAST_FURNACES</t>
  </si>
  <si>
    <t>BLAST_FURNACES_MANUFACTURING</t>
  </si>
  <si>
    <t>116280000 T/yr</t>
  </si>
  <si>
    <t>116,28 MT/y</t>
  </si>
  <si>
    <t>41 744 520 t of coke/y</t>
  </si>
  <si>
    <t>ELEMENT : C</t>
  </si>
  <si>
    <t>PRODUCTION_OF_PULP_PAPER_AND_BOARD</t>
  </si>
  <si>
    <t>PULP_PRODUCTION</t>
  </si>
  <si>
    <t>THE_KRAFT_PULPING_PROCESS</t>
  </si>
  <si>
    <t>41800000 T/yr</t>
  </si>
  <si>
    <t>25200000 T/yr</t>
  </si>
  <si>
    <t>82730000 T/yr</t>
  </si>
  <si>
    <t>82,73 MT/y</t>
  </si>
  <si>
    <t>2 068 250 t/y - 11 582 000 t/y</t>
  </si>
  <si>
    <t>50340000 T/yr</t>
  </si>
  <si>
    <t>50,34 MT/y</t>
  </si>
  <si>
    <t>THE_SULPHITE_PULPING_PROCESS</t>
  </si>
  <si>
    <t>2200000 T/yr</t>
  </si>
  <si>
    <t>8 800 t/y</t>
  </si>
  <si>
    <t>DUST: 15,7- 298 g/T
SO2: 80- 900 g/T
NO2: 336- 1783 g/T
NH3: 0,5- 24,7 g/T
H2SO4: 2-  g/T
HCN: 0,05- 1,87 g/T
H2S: 12- 100 g/T
CO_CARBON_MONOXYDE: 200- 4460 g/T
CO2: 160- 860 g/T
CH4: 1- 80 g/T
TOC: 12- 24 g/T
BENZENE: 0,1- 45 g/T
PAH: 115- 1091 mg/T
PCDD/F: 0- 0,1 ngI-TEQ/T
BENZENE: 5,3- 14 Kg/T
OIL: 9,1- 14 Kg/T
H2SO4: 4,2- 9 Kg/T</t>
  </si>
  <si>
    <t>ETHYLBENZENE_AND_STYRENE</t>
  </si>
  <si>
    <t>STYRENE_MANUFACTURING_BY_HYDROGENATION</t>
  </si>
  <si>
    <t>11338000 T/yr</t>
  </si>
  <si>
    <t>3130000 T/yr</t>
  </si>
  <si>
    <t>33000000 m3/yr</t>
  </si>
  <si>
    <t>6460,5 Nm3/y</t>
  </si>
  <si>
    <t>HYDROGEN: 50-  Kg/T
BENZENE: 20-  Kg/T
TOLUENE: 16- 94 Kg/T
TAR: 12,9-  Kg/T
COKE: -  
SPENT_CATALYST: 0,45-  Kg/T
GUMS: 1,5-  Kg/T
OLIGOMERS_OF_POLYSTYRENE: 1,5-  Kg/T
SPENT_SOLVENTS: 1,5- 6 Kg/T
SO2: 0,8- 4 g/T
NO2: 39- 83 g/T
METHANE: 1,3- 2,3 g/T
CO_CARBON_MONOXYDE: 4- 8 g/T
HEAT: 210- 840 KWh/t</t>
  </si>
  <si>
    <t>78900000 m3/yr</t>
  </si>
  <si>
    <t xml:space="preserve"> 260 - 400 t of h2/t of feed</t>
  </si>
  <si>
    <t>H2</t>
  </si>
  <si>
    <t>25323650 T/yr</t>
  </si>
  <si>
    <t>25000000 T/yr</t>
  </si>
  <si>
    <t>HYDRODESULPHURISATION</t>
  </si>
  <si>
    <t>HYDRODESULPHURISATION_PROCESS</t>
  </si>
  <si>
    <t>616000000 m3/yr</t>
  </si>
  <si>
    <t>123280000 T/yr</t>
  </si>
  <si>
    <t>123,28 MT/y</t>
  </si>
  <si>
    <t>NICKEL_AND_COBALT</t>
  </si>
  <si>
    <t>COBALT_PRODUCTION</t>
  </si>
  <si>
    <t xml:space="preserve"> </t>
  </si>
  <si>
    <t>17050 T/yr</t>
  </si>
  <si>
    <t>SO2: 3790- 13400 mg/T
HF: 116- 760 mg/T
CH4: 215-  mg/T
Cd: 200- 2316 mg/T
Ni: 572- 66154 mg/T
Zn: 66154  mg/T</t>
  </si>
  <si>
    <t>ELEMENT : S</t>
  </si>
  <si>
    <t>GLASS</t>
  </si>
  <si>
    <t>CONTAINER_GLASS</t>
  </si>
  <si>
    <t>CONTAINER_GLASS_MANUFACTURING_WITHOUT_ABATEMENT_SYSTEM</t>
  </si>
  <si>
    <t>21589000 T/yr</t>
  </si>
  <si>
    <t>20 MT/y</t>
  </si>
  <si>
    <t>MINERAL_WOOL</t>
  </si>
  <si>
    <t>STONE_AND_SLAG_WOOL_MANUFACTURING</t>
  </si>
  <si>
    <t>3654000 T/yr</t>
  </si>
  <si>
    <t>3,6 MT/y</t>
  </si>
  <si>
    <t>Si
Al
Ca</t>
  </si>
  <si>
    <t>118 MT/y</t>
  </si>
  <si>
    <t>Ca(OH)2</t>
  </si>
  <si>
    <t>130000000 T/yr</t>
  </si>
  <si>
    <t>130 MT/y</t>
  </si>
  <si>
    <t>STARCH</t>
  </si>
  <si>
    <t>STRACH</t>
  </si>
  <si>
    <t>11058000 T/yr</t>
  </si>
  <si>
    <t>SiO2
Si</t>
  </si>
  <si>
    <t>ALUMINA_PRODUCTION</t>
  </si>
  <si>
    <t>ELEMENT : Al2O3
ELEMENT : AL</t>
  </si>
  <si>
    <t>WASTE_INCINERATION</t>
  </si>
  <si>
    <t>HAZARDOUS_WASTE_INCINERATION_PLANTS</t>
  </si>
  <si>
    <t>THERMAL_TREATMENT_H</t>
  </si>
  <si>
    <t>2720000 T/yr</t>
  </si>
  <si>
    <t xml:space="preserve">2720000 </t>
  </si>
  <si>
    <t>PELLETISATION_PLANTS</t>
  </si>
  <si>
    <t>PELLETISATION_PLANTS_MANUFAACTURING</t>
  </si>
  <si>
    <t>27000000 T/yr</t>
  </si>
  <si>
    <t>27 MT/y</t>
  </si>
  <si>
    <t>MUNICIPAL_WASTE_INCINERATION_PLANTS</t>
  </si>
  <si>
    <t>FLUE_GAS_TREATMENT_NH</t>
  </si>
  <si>
    <t>45014300 T/yr</t>
  </si>
  <si>
    <t>DUST: 4 - 300 g/T
Hg: 2 - 200 mg/Kg
Pb: 75 - 2850 mg/Kg
Cr: 12 - 2800 mg/Kg
Ni: 3 - 2000 mg/Kg
Zn: 200 - 24000 mg/Kg
Cd: 1 - 148 mg/Kg
Cu: 11 - 510 mg/Kg
HF: 0,04 - 15000 mg/Kg
HCL: 800 - 35250 mg/Kg
SO2: 5 - 210 g/T
NO2: 13 - 460 g/T
CO_CARBON_MONOXYDE: 50 - 4500 g/T
CO2: 72 - 180 Kg/T
TOC: 35 - 260 mg/T
BENZENE: 30 - 4400 mg/T
CHLOROBENZENES: 0,2 - 12 mg/T
PAH: 9 - 970 mg/T</t>
  </si>
  <si>
    <t>EHTYLBENZENE_MANUFACTURING</t>
  </si>
  <si>
    <t>6053000 T/yr</t>
  </si>
  <si>
    <t>4 448 955 - 4 515 538 t/y</t>
  </si>
  <si>
    <t>SYNTHETIC_AMORPHOUS_SILICA</t>
  </si>
  <si>
    <t>PRECIPITATED_SILICA_AND_SILICA_GEL_MANUFACTURING</t>
  </si>
  <si>
    <t>392100 T/yr</t>
  </si>
  <si>
    <t>300100 T/yr</t>
  </si>
  <si>
    <t>198 000 t/y</t>
  </si>
  <si>
    <t>SECONDARY_COPPER_SMELTING_PYROMETALLURGICAL_ROUTE</t>
  </si>
  <si>
    <t>50 000 - 70 000 t/y</t>
  </si>
  <si>
    <t>PRIMARY_DISTILLATION_UNITS</t>
  </si>
  <si>
    <t>CRUDE_ATMOSPHERIC_DISTILLATION</t>
  </si>
  <si>
    <t>864000000 m3/yr</t>
  </si>
  <si>
    <t>PRIMARY_ALUMINIUM_CASTHOUSE</t>
  </si>
  <si>
    <t>0 to 1,5 kg of fluxes /t</t>
  </si>
  <si>
    <t>COMBUSTION_OF_GASEOUS_FUELS</t>
  </si>
  <si>
    <t>IRON_AND_STEEL_PROCESS_GASES_COMBUSTION</t>
  </si>
  <si>
    <t>713000 MWh/yr</t>
  </si>
  <si>
    <t>6061 - 33 377 MJ /T   
10 000 - 70 000 Nm3/h
LHV: 2,6 - 4 MJ/m3</t>
  </si>
  <si>
    <t>CO_CARBON_MONOXYDE: 20 - 25 Vol%
CO2: 20 - 25 Vol%
H2: 1 - 5 Vol%
N2: 50 - 58 Vol%
MgO: 6 - 7 Vol%</t>
  </si>
  <si>
    <t>350 - 700 MJ /T
LHV: 7,1 - 10,1 MJ/m3</t>
  </si>
  <si>
    <t>SODA_ASH</t>
  </si>
  <si>
    <t>SOLVAY_PROCESS</t>
  </si>
  <si>
    <t>15000000 T/yr</t>
  </si>
  <si>
    <t>15 MT/y</t>
  </si>
  <si>
    <t>ELEMENT : SiO2 (TRACES)
ELEMENT : Al2O3 (TRACES)
ELEMENT: CaCO3 85 - 97 %</t>
  </si>
  <si>
    <t xml:space="preserve">1575500500 </t>
  </si>
  <si>
    <t>1 326 000 t/y</t>
  </si>
  <si>
    <t>SLURRY AND LIME
ELEMENT : Ca(OH)2</t>
  </si>
  <si>
    <t>WASTE_TREATMENTS_INDUSTRIES</t>
  </si>
  <si>
    <t>PHYSICO_CHEMICAL_TREATMENTS</t>
  </si>
  <si>
    <t>1883000 T/yr</t>
  </si>
  <si>
    <t>9 603 t/y</t>
  </si>
  <si>
    <t>Nickel and ACID (HCl)</t>
  </si>
  <si>
    <t>CERAMIC</t>
  </si>
  <si>
    <t>TECHNICAL_CERAMICS</t>
  </si>
  <si>
    <t>ELECTROPORCELAIN_MANUFACTURING</t>
  </si>
  <si>
    <t>150000 T/yr</t>
  </si>
  <si>
    <t>SUSPENDED MATTER: 0 - 3 mg/L
PH: 7,2</t>
  </si>
  <si>
    <t xml:space="preserve">Co_COBALT: 0,016 -  mg/l
ALUMINIUM_OXIDES: 0,23 -  mg/l
Zn: 0,3 -  mg/l
Ni: 0 - 0,1 mg/l
Cu: 0 - 0,01 mg/l
Cd: 0 - 0,005 mg/l
Pb: 0 - 0,05 mg/l
Cr: 0 - 0,01 mg/l
: 0,02 -  mg/l
TOC: 15 -  </t>
  </si>
  <si>
    <t>VACUUM_DISTILLATION</t>
  </si>
  <si>
    <t>362000000 m3/yr</t>
  </si>
  <si>
    <t>FERTILISERS</t>
  </si>
  <si>
    <t>NPK_FERTILISER</t>
  </si>
  <si>
    <t>NPK_FERTILISER_PRODUCTION</t>
  </si>
  <si>
    <t>NH3
H2S</t>
  </si>
  <si>
    <t>GAS_SEPARATION</t>
  </si>
  <si>
    <t>GAS_SEPARATION_PROCESSES</t>
  </si>
  <si>
    <t>UREA_AND_UAN_FERTILISERS</t>
  </si>
  <si>
    <t>UREA_PRODUCTION</t>
  </si>
  <si>
    <t>7909000 T/yr</t>
  </si>
  <si>
    <t>NH3
HYDROCARBON
H2S</t>
  </si>
  <si>
    <t>PRIMARY_ALUMINIUM</t>
  </si>
  <si>
    <t>2070000 T/yr</t>
  </si>
  <si>
    <t>PHENOL</t>
  </si>
  <si>
    <t>PHENOL_MANUFACTURING</t>
  </si>
  <si>
    <t>2816000 T/yr</t>
  </si>
  <si>
    <t>2,6 MT/y</t>
  </si>
  <si>
    <t>DUST
ACID (HCl)</t>
  </si>
  <si>
    <t>THERMAL_TREATMENT_NH</t>
  </si>
  <si>
    <t xml:space="preserve">33736627,4089936 </t>
  </si>
  <si>
    <t>9 002 860 - 15 755 005 t/y</t>
  </si>
  <si>
    <t>NUMBER OF FACILITIES (WHOLE SENDER SECTOR)</t>
  </si>
  <si>
    <t>ANNUAL SECTOR PRODUCTION</t>
  </si>
  <si>
    <t>NUMBER OF PROCESS</t>
  </si>
  <si>
    <t>ANNUAL PROCESSES PRODUCTION</t>
  </si>
  <si>
    <t>NUMBER OF FACILITIES (WHOLE RECEIVER SECTOR)</t>
  </si>
  <si>
    <t>ANNUAL RECEIVER SECTOR PRODUCTION</t>
  </si>
  <si>
    <t>NUMBER OF RECEIVER PROCESSES</t>
  </si>
  <si>
    <t>ANNUAL RECEIVER PROCESSES PRODUCTION</t>
  </si>
  <si>
    <t>267 000 000 t/y</t>
  </si>
  <si>
    <t>25 000 000 t/y</t>
  </si>
  <si>
    <t>2 160 000 t/y</t>
  </si>
  <si>
    <t>DISCONTINIOUS</t>
  </si>
  <si>
    <t>SEMI-WET SORPTION RESIDUES</t>
  </si>
  <si>
    <t xml:space="preserve">VACUUM DISTILLATION WASTE WATER </t>
  </si>
  <si>
    <t>GAS SEPARATION WASTE WATER</t>
  </si>
  <si>
    <t xml:space="preserve">DRINKING WATER TREATMENT SLUDGE </t>
  </si>
  <si>
    <t xml:space="preserve"> CRUDE ATMOSPHERIC DISTILLATION WASTE WATER</t>
  </si>
  <si>
    <t xml:space="preserve">VISBREAKING WASTE WATER </t>
  </si>
  <si>
    <t xml:space="preserve">CRUDE ATMOSPHERIC DISTILLATION WASTE WATER </t>
  </si>
  <si>
    <t xml:space="preserve">S : ENGINEERING
P : BLAST MEDIA PRODUCTION </t>
  </si>
  <si>
    <t>WASTE_WATER_TREATMENT</t>
  </si>
  <si>
    <t>DRINKING_WATER_TREATMENT</t>
  </si>
  <si>
    <t>DRINKING_WATER_TREATMENT_PROCESS</t>
  </si>
  <si>
    <t>AN_AND_CAN_FERTILISERS</t>
  </si>
  <si>
    <t>CAN_PRODUCTION</t>
  </si>
  <si>
    <t>11 786 000 t/y</t>
  </si>
  <si>
    <t>7 416 000 t/y</t>
  </si>
  <si>
    <t>ELEMENT: Ca
NITROGEN
PHOSPHORUS
POTASSIUM
MAGNESIUM</t>
  </si>
  <si>
    <t>ENGINEERING</t>
  </si>
  <si>
    <t>AUTOMOTIVE INDUSTRIES</t>
  </si>
  <si>
    <t>PLASTIC_PARTS_MANUFACTURING</t>
  </si>
  <si>
    <t>INDUSTRIAL_EQUIPMENT_MANUFACTURING</t>
  </si>
  <si>
    <t>BLAST_MEDIA_PRODUCTION</t>
  </si>
  <si>
    <t>PHARMACEUTICAL</t>
  </si>
  <si>
    <t>INSULINE_PRODUCTION</t>
  </si>
  <si>
    <t>FERMENTATION_PROCESS</t>
  </si>
  <si>
    <t>AGRO_INDUSTRIAL_PRODUCTION</t>
  </si>
  <si>
    <t>ANIMAL_FARMING</t>
  </si>
  <si>
    <t>LIVESTOCK_FEEDING</t>
  </si>
  <si>
    <t>INTENSIVE_POULTRY_FARMING</t>
  </si>
  <si>
    <t>TEXTILE</t>
  </si>
  <si>
    <t>TANNING_CYCLE</t>
  </si>
  <si>
    <t>BATING_PHASE</t>
  </si>
  <si>
    <t>MINERALS</t>
  </si>
  <si>
    <t>SILICA_PRODUCTION</t>
  </si>
  <si>
    <t>MICRONIZED_SILICA_MANUFACTURING</t>
  </si>
  <si>
    <t>SODIUM_SILICATE</t>
  </si>
  <si>
    <t>SODIUM_SILICATE_MANUFACTURING</t>
  </si>
  <si>
    <t>616 000 m3/y</t>
  </si>
  <si>
    <t>ATS_FERTILISER</t>
  </si>
  <si>
    <t>ATS_FERTILISER_PRODUCTIOn</t>
  </si>
  <si>
    <t>ELEMENT: S</t>
  </si>
  <si>
    <t>116 280 000 t/y</t>
  </si>
  <si>
    <t>BRICKS_AND_ROOF_TILES</t>
  </si>
  <si>
    <t>BRICKS_AND_ROOF_TILES_MANUFACTURING</t>
  </si>
  <si>
    <t>55 000 000 t/y</t>
  </si>
  <si>
    <t xml:space="preserve"> 19 250 000 t/y</t>
  </si>
  <si>
    <t>UNDEFINED</t>
  </si>
  <si>
    <t>GASIFICATION</t>
  </si>
  <si>
    <t>INTEGRATED_GASIFICATION_COMBINED_CYCLE</t>
  </si>
  <si>
    <t>CONTAINER_GLASS_MANUFACTURING_WITH_ABATEMENT_SYSTEM</t>
  </si>
  <si>
    <t>21 589 000 t/y</t>
  </si>
  <si>
    <t>20 000 000 t/y</t>
  </si>
  <si>
    <t xml:space="preserve"> 1 240 000 - 22 200 00 t/y</t>
  </si>
  <si>
    <t>868 000 MWh/y</t>
  </si>
  <si>
    <t>INTEGRATED_GASIFICATION_COMBINED_CYC</t>
  </si>
  <si>
    <t>ELEMENT: HCl</t>
  </si>
  <si>
    <t>CATALYTIC_CRACKING</t>
  </si>
  <si>
    <t>CATALYTIC_CRACKING_FCC_PROCESS</t>
  </si>
  <si>
    <t>135 400 000 t/y</t>
  </si>
  <si>
    <t>0,4 - 2,5 kg /t</t>
  </si>
  <si>
    <t>Au
Ag
Pt
Pd
Rh</t>
  </si>
  <si>
    <t xml:space="preserve"> 1 909 000 - 30 129 000 tons of high alloy</t>
  </si>
  <si>
    <t>Ba: 310 - 430 mg/Kg
Cd: 11 - 16 mg/Kg
CO_COBALT: 5 - 9 mg/Kg
Cr: 75 - 85 mg/Kg
Cu: 90 - 96 mg/Kg
Hg: 0 - 0 mg/Kg
N: 0 - 0 mg/Kg
Ni: 29 - 60 mg/Kg
P: 1 - 3 mg/Kg
Pb: 11 - 18 mg/Kg
S: 6 - 23 mg/Kg
Sr: 290 - 330 mg/Kg
Zn: 1000 - 2300 mg/Kg</t>
  </si>
  <si>
    <t>FORMALDEHYDE</t>
  </si>
  <si>
    <t>METAL_OXIDE_PROCESS</t>
  </si>
  <si>
    <t>66 000 000 t/y</t>
  </si>
  <si>
    <t>3 600 000 t/y</t>
  </si>
  <si>
    <t>0,4 and 2,5 kg of catalysts</t>
  </si>
  <si>
    <t>Fe
Mo
Pt</t>
  </si>
  <si>
    <t>LIME_INDUSTRY</t>
  </si>
  <si>
    <t>LIME_MANUFACTURING_MIXED_FEED_SHAFT_KILN</t>
  </si>
  <si>
    <t>28 000 000 t/y</t>
  </si>
  <si>
    <t>2 240 000 t/y</t>
  </si>
  <si>
    <t>DUST: 0,003 - 1,3 Kg/T
NO2: 0,15 - 12,5 Kg/T
SO2: 0 - 10 Kg/T
CO2: 987 - 1975 Kg/T
CO_CARBON_MONOXYDE: 0,3 - 12,5 Kg/T
HCL: 0,06 - 1300 g/T
PCDD: 47 - 320 µg/T
As: 50 - 500 mg/T
Cd: 50 - 500 mg/T
Cu: 50 - 500 mg/T
Mn: 50 - 500 mg/T
Hg: 50 - 500 mg/T
Sn: 50 - 500 mg/T
Te: 50 - 500 mg/T
Tl: 50 - 500 mg/T
V: 50 - 500 mg/T
Cr: 50 - 500 mg/T
Sb: 50 - 200 mg/T
Se: 50 - 300 mg/T
Co_COBALT: 50 - 300 mg/T</t>
  </si>
  <si>
    <t>HYDROGEN_PEROXIDE</t>
  </si>
  <si>
    <t>HYDROGEN_PEROXIDE_MANUFACTURING</t>
  </si>
  <si>
    <t>1423000 T/yr</t>
  </si>
  <si>
    <t>1,4 MT/y</t>
  </si>
  <si>
    <t>WASTE_CO-INCINERATION</t>
  </si>
  <si>
    <t>0,1 - 10 % of waste complement</t>
  </si>
  <si>
    <t>CARBON WASTE LHV: 20 - 30 MJ/kg</t>
  </si>
  <si>
    <t>SOLVENTS AND RELATED WASTE LHV: 20 - 36 MJ/kg</t>
  </si>
  <si>
    <t>3 500 028 t/y</t>
  </si>
  <si>
    <t>LHV: 25 - 36 MJ/kg (OIL WASTE LHV)</t>
  </si>
  <si>
    <t>PHENOL
MERCAPTANS
CHLORIDES
H2S
OIL</t>
  </si>
  <si>
    <t>LHV: 16,8 MJ/kg</t>
  </si>
  <si>
    <t>WOOD
SAWDUST
BARK
WOOD_CHIPS</t>
  </si>
  <si>
    <t>INDUSTRIAL SLUDGES LHV : 8 - 14 MJ/kg</t>
  </si>
  <si>
    <t>SLUDGE
BEET_SOIL
BEET_TAILS
WEED
LEAVES</t>
  </si>
  <si>
    <t>VISBREAKING</t>
  </si>
  <si>
    <t>VISBREAKING_PROCECSS</t>
  </si>
  <si>
    <t>23400000 m3/yr</t>
  </si>
  <si>
    <t>2160000 T/yr</t>
  </si>
  <si>
    <t>2 160 m3/y</t>
  </si>
  <si>
    <t>POULTRY_SLAUGHTER</t>
  </si>
  <si>
    <t>POULTRY_SLAUGHTER_PROCESS</t>
  </si>
  <si>
    <t>3906900 T/yr</t>
  </si>
  <si>
    <t>LHV: 14-21 MJ/kg</t>
  </si>
  <si>
    <t>LIME_MANUFACTURING_LONG_ROTARY_KILN</t>
  </si>
  <si>
    <t>28000000 T/yr</t>
  </si>
  <si>
    <t>2 520 000 t/y</t>
  </si>
  <si>
    <t>CARBON_BLACK</t>
  </si>
  <si>
    <t>FURNACE_BLACK_PROCESS</t>
  </si>
  <si>
    <t>1745000 T/yr</t>
  </si>
  <si>
    <t>2 800 000 t/y</t>
  </si>
  <si>
    <t>864 000 000 t/y</t>
  </si>
  <si>
    <t>ALL_SUBSECTORS</t>
  </si>
  <si>
    <t>ALL_PROCESSES</t>
  </si>
  <si>
    <t>868 000 MWh</t>
  </si>
  <si>
    <t>e.g. 3 - 5 m3 of used cooling water per ton of atmospheric residues</t>
  </si>
  <si>
    <t>SENDER :
Process temperature 335 - 400 °C
Temperature change : 17°C.</t>
  </si>
  <si>
    <t>ELEMENT: H2O</t>
  </si>
  <si>
    <t>MECHANICAL_PULPING_AND_CHEMIMECHANICAL_PULPING</t>
  </si>
  <si>
    <t>13 600 000 t/y</t>
  </si>
  <si>
    <t>SENDER : 
Cooking and water grinding temperatur process 70 - 170 °C.
Cooling steam/water temperature 95 - 125 °C.
RECEIVER : 
Process temperature: 335 - 400 °C</t>
  </si>
  <si>
    <t>WASTE_TREATMENT_AIMED_PRODUCE_MATERIAL_USED_AS_FUEL</t>
  </si>
  <si>
    <t>C: 83 - 85 Weight%
H: 10 - 14 Weight%
N: 0 - 2 Weight%
O: 0 - 2 Weight%
S: 0 - 6 Weight%</t>
  </si>
  <si>
    <t>CH3OH</t>
  </si>
  <si>
    <t>ELEMENT: C</t>
  </si>
  <si>
    <t>LHV: 19,937 MJ/kg</t>
  </si>
  <si>
    <t>ELEMENT: C
ELEMENT : H</t>
  </si>
  <si>
    <t>WASTE HEAT QUERY</t>
  </si>
  <si>
    <t>WASTE STEAM QUERY</t>
  </si>
  <si>
    <t>SYNERGY IDENTIFICATION METHODOLOGY</t>
  </si>
  <si>
    <t>MIXED-COMPOSED RESOURCE MATCHING</t>
  </si>
  <si>
    <t>STRANE'S EXPERTISE</t>
  </si>
  <si>
    <t>SCALER PARTNERS' EXPERTISE</t>
  </si>
  <si>
    <t>SYNERGY VALIDATION</t>
  </si>
  <si>
    <t>The aim of this synergy is to recover coke oven gas from coke ovens and extract hydrogen to provide petrochemical industries.
There are 38 coke oven plants in European Union. They produce 50 340 000 t of coke /y. (1 324 736 T/site)
Coke ovens process generates 360 - 518 Nm3 of coke oven gas / t of coke. The annual COG volume is between 18 122 400 000 - 26 076 120 000 Nm3/y. (476 905 263 - 686 213 684 Nm3/site). H2 COG concentration is 39 - 65 %. 7 067 736 000 to 16 945 478 000 m3 of hydrogen can be recovered each year.
Hydrocracking processes use vacuum gas oil and require hydrogen to produce liquified petroleum gas, kerosene naphtha, gasoline and HFO. There are 38 hydrocrackers in European Union. They produce 78 900 000 m3 of per year (237 714 m3 per site) and require between 260 and 400 t of h2/t of feed.</t>
  </si>
  <si>
    <t>The aim of this synergy is to recover pure coke from steam crackers cleaning flows and provide sinter plants in steel sector. 
The steamcraker cleaning process generates 400 tons of pure coke per year. The aim of this synergy is to recover the coke and provide pure coke to sinter plants in case of small particles or blast furnace plants.</t>
  </si>
  <si>
    <t xml:space="preserve">The aim of this synergy is to recover basic oxygen furnace slag and provide silicon, calcium and alumina for clinker raw material preparation and grinding cement mill.
Basic oxygen furnaces is a steelmaking route. This technology is widely used in European Union with 101 referenced installations. European annual BOF steel production is around 123 Mt/year. (1 220 594 T/site).
BOF process generates 85 - 165 kg of slag per ton of liquid steel. The annual BOF slag volume is 10 478 800 - 20 241 200 t/y (103 750 - 201 398 t/site). 17% of the slag is composed by iron. The slag iron annual volume is between 1 781 396 - 3 441 004 tons.
Cement industries are steel slag consumers. They use BOF slag as silicon, alumina and calcium source to produce clinker and cement. 268 cement plants are referenced in Europe Union. 118 000 000 of clinker and 157 000 000 tons of grey cement are produced each year. </t>
  </si>
  <si>
    <t>Recover and transport BOF slag as a silicon alumina and calcium supply</t>
  </si>
  <si>
    <t>The aim of this synergy is to recover gypsum as an inorganic chemical solid waste from sulphate process to provide grinding cement mill in cement sector
There are 19 titanium dioxide production referenced installations in European Union. 5 are  sulphate process. European annual sulphate process production is around 465 000 t/year.
Sulphate process generates 5470 kg of gypsum / t of titanium dioxide produced.
Cement industries are gypsum consumers. There are 268 plants in Europe Union. The production of grey cement is around 157 Mt/y. Grinding cement mill require 50 kg of gypsum/t of grey cement produced or 7 850 000 t/y
Gypsum will be used as a sulphur and calcium source.</t>
  </si>
  <si>
    <t>Recover Gypsum from sulphate process and treat it to be compliant with standard gypsum used in grinding cement mill. A technology is required for red gypsum.</t>
  </si>
  <si>
    <t>The aim of this synergy is to recover gypsum as an combustion plant solid waste from coal combustion to provide grinding cement mill in cement sector
There are 950 coal combustion referenced process in European Union. Coal combustion uses 186 000 t of coal/year and generates gypsum.
Cement industries are gypsum consumers. There are 268 plants in Europe Union. The production of grey cement is around 157 Mt/y. Grinding cement mill require 50 kg of gypsum/t of grey cement produced or 7 850 000 t/y
Gypsum will be used as a sulphur and calcium source</t>
  </si>
  <si>
    <t>Recover Gypsum from coal combustion process  and treat it to be compliant with standard gypsum used in grinding cement mill</t>
  </si>
  <si>
    <t>The aim of this synergy is to recover sulphuric acid, as a by-product of copper primary smelting route, and provide sulphate process in inorganic chemical industries.
There are 104 copper production referenced installations in European Union. European annual  copper production is around 4 800 000 t/year.
In Europe, primary copper smelting pyrometallurgical route generates 1 018 000 t of sulphuric acid/y.
There are 19 titanium dioxide production referenced installations in European Union. 5 are  sulphate process. European annual sulphate process production is around 465 000 t/year. These process require between 2430 and 4394 kg of sulphuric acid / tonne of titanium dioxide produced. The sulphuric acid annual demand is between 1 129 950 and 2 043 210 t/y.</t>
  </si>
  <si>
    <t>Extract sulphuric acid from non ferrous metals smelting and treat it to be compliant for recycling in sulphate process</t>
  </si>
  <si>
    <t>Extract sulphuric acid from non ferrous metals lead an tin production process and treat it to be compliant for recycling in sulphate process</t>
  </si>
  <si>
    <t xml:space="preserve">Recover lime from sugar production process and treat it to be compliant with standard lime used in calcium carbide production.  </t>
  </si>
  <si>
    <t>The aim of this synergy is to recover salt from non ferrous metals salt slag and provide inorganic chemical industries which produce sodium chlorate.
There are 18 aluminium production referenced installations in European Union. European annual aluminium production is around 6 200 000 t/year and 2 070 000 t are produced with primary aluminium processes.
Primary aluminium process generates between 0 and 500 kg/t of salt slag. Salt slag may be treated to recover aluminium granulate and oxide. It generates between 200 and 550 kg of salt /t of salt slag treated or  between 1 240 000 t/y and 3 410 000 t/y ( between 68 888 and 189 444 t/y per site)
European annual sodium chlorate production is around 687 000 t/year. There are 15 referenced installations. These processes require 545 kg of salt / tonne of sodium chlorate produced. The associated salt annual demand is around 377 000 t/y.</t>
  </si>
  <si>
    <t>The aim of this synergy is to recover salt from sheep slaughter process in slaughterhouses and animal by products industries to provide inorganic chemical industries which produce sodium chlorate.
There are around 1068 (Strane calculation based on BREF indicated values) sheep slaughterhouses in European Union. 78 092 000 sheeps are slaughtered each year. Sheep carcases European annual quantity is around 1 746 862 t/y.
Sheep slaughter process uses 94 kg/t of sheep carcase. 39 kg of waste salt / tonnes of sheep carcase can be recovered. Waste salt annual volume is around 68 127 t/y (63 t/y/site)
European annual sodium chlorate production is around 687 000 t/year. There are 15 referenced installations. These processes require 545 kg of salt / tonne of sodium chlorate produced. The associated salt annual demand is around 377 000 t/y.</t>
  </si>
  <si>
    <t>The aim of this synergy is to recover coke from vinyl chloride monomer manufacturing and provide blast furnace in steel industries.
There are 26 vinyl chloride monomer referenced installations in European Union. European annual vinyl chloride monomer production is 8 293 000 t/y or 318 962 t/y/site. It generates between 829 and 1658 t of coke/y.
Blast furnace is a widely used steelmaking process with 86 installations in European Union. Blast furnaces annual production is 116 280 000 t/y of hot metal. Blast furnaces are coke consumers and require 359 kg of coke /t of hot metal produced. The annual demand is around 41 744 520 t of coke/y.</t>
  </si>
  <si>
    <t>The aim of this synergy is to recover lime from Kraft pulping process in pulp and paper production sector, and provide electrical arc furnaces for steel manufacturing.
There are 192 pulp and paper production referenced installations in European Union which produce 41 800 000 t of pulp and paper /y. 77 Kraft pulping process are referenced and produce 25 200 000 t of pulp/y.
A Kraft pulping process generates between 10 and 20 kg of lime / ADT Pulp or between 252 000 and 504 000 t of lime/y.
Electrical arc furnace is direct smelting scrap steelmaking route. This technology is now widely used in European Union with 231 referenced installations. European annual EAF steel production is around 83 000 000 t/year. EAF are lime consumers. The associated lime demand is between 2 068 250 t/y and 11 582 000 t/y.</t>
  </si>
  <si>
    <t>Recover lime from Kraft pulping process and treat it to be compliant with standard lime used in electrical arc furnace</t>
  </si>
  <si>
    <t>The aim of this synergy is to recover hydrogen from styrene manufacturing by hydrogenation and provide isomerisation processes in refining industries.
There are 13 styrene production sites and 7 use hydrogenation. They produce 3 130 000 t/y of styrene (447 142 t/y per site).
Hydrogenation process allow to recover 50kg of hydrogen/t of styrene produced. The associated annual production is 156 000 t of hydrogen/y (22 357 t/y/site)
Isomerisation processes require hydrogen to produce gasoline. There are 140 isomerisation  process in European Union. They produce 33 000 000 m3 of gasoline per year (237 714 m3 per site) and require 6460,5 Nm3 of hydrogen per year (17,7 Nm3 / day)</t>
  </si>
  <si>
    <t>The aim of this synergy is to recover hydrogen from sodium chlorate production in inorganic chemicals industries and provide hydrocracking processes in refining industries.
There are 15 sodium chlorate sites. They produce 687 000 t/y of sodium chlorate (45 800 t/y per site).
Sodium chlorate production sites generate between 9 and 28 kg of hydrogen / tonne of sodium chlorate produced. The associated annual production is between 6 183 and 19 236 t of hydrogen/y (412 - 1282 t/y/site)
Hydrocracking processes use vacuum gas oil and require hydrogen to produce liquified petroleum gas, kerosene naphtha, gasoline and HFO. There are 38 hydrocrackers in European Union. They produce 78 900 000 m3 of per year (237 714 m3 per site) and require between 260 and 400 t of h2/t of feed.</t>
  </si>
  <si>
    <t>The aim of this synergy is to recover hydrogen gas from steam cracking and provide hydrodesulphurisation processes in refining industries.
There are 39 steam crackers in European Union. They produce around 25 000 000 t of lower olephins /y (649 324 t/y per site). Steam crackers generates between 16 (between 5 and 43) mg/Nm3 of final product.
hydrodesulphurisation processes are hydrogen consumers. In European Union, there are 309 hydrodesulphurisation processes which treat 616 000 000 m3/year (1 994 000 m3/site). It is equivalent to 512 512 000 t/y. They require from 13 to 200 m3 of hydrogen / tons of hydrodesulphurisation feedstock, depending on the sulphur concentration. The annual hydrogen demand is between 7 and 100 billion tons per year</t>
  </si>
  <si>
    <t>The aim of this synergy is to recover nickel from basic oxygen furnaces emissions to provide cobalt and alloys production in non-ferrous metals industries.
Basic oxygen furnaces is a steelmaking route. This technology is widely used in European Union with 101 referenced installations. European annual BOF steel production is around 123 Mt/year. (1 220 594 T/y).
BOF process generates dusts (14 – 143 g/t of liquid steel) composed by a significant part of metals particles. BOF produce 572 - 66 154 mg of nickel /t of liquid steel. The annual nickel volume is between 70 and 8156 t/y.
Non-ferrous metals industries are nickel residues consumers and nickel producers.
Nickel may be used for alloys or pure nickel production.</t>
  </si>
  <si>
    <t>The aim of this synergy is to sulphur from coke ovens emissions and provide sulphite pulping process.
There are 38 coke oven plants in European Union. They produce 50 340 000 t of coke /y. (217 708 T/site)
In case of SO2 absorption and sulphur recovery as elemental sulphur, coke ovens process generates 0,9 to 2 kg/T of sulphur. The annual sulphur volume is between 45 306 and 100 680 t/y. (1 192 - 2 649 t/site).
Sulphite process are sulphur consumers.
There are 192 pulp and paper production plants with a global annual production of 41 800 000 t/y. 16 of them use sulphite process and require between 28 and 32 kg of sulphur / ADT. The annual demand is between 61 600 and 70 400 t/y.</t>
  </si>
  <si>
    <t>Recover sulphur and treat it to be compliant for recycling in sulphite pulping process</t>
  </si>
  <si>
    <t>The aim of this synergy is to recover combustion plant slag to provide glass sector for stone and slag wool manufacturing.
Combustion of solid fuels produce 868 000 MWh/y. There are 950 coal combustion plants in European Union. The global coal consumption 186 000 t/y. 
Coal combustion plants generate slag.
Glass sector is a slag consumer.
There are 64 stone and slag wool manufacturing processes. 3 654 000 T of stone and slag wool are produced each year. (57 094t/site). Slag is one of the raw material used.</t>
  </si>
  <si>
    <t>The aim of this synergy is to recover lime from Kraft pulping process in pulp and paper production sector to provide cement raw material preparation.
There are 192 pulp and paper production referenced installations in European Union which produce 41 800 000 t of pulp and paper /y. 77 Kraft pulping process are referenced and produce 25 200 000 t of pulp/y.
Pulping processes generate from 10 to 20 kg of lime/ADT which is equivalent to 418 000 to 836 000 tons of lime per year (2 177 to 4 354 t/site).
Cement industries are lime consumers. Lime provide calcium supply for clinker raw material preparation. There are 268 plants in Europe Union.  clinker annual production is 118 Mt/y. Clinker raw material preparation can use lime as a calcium supply.</t>
  </si>
  <si>
    <t>The aim of this synergy is to recover sludge from sinter plants to provide cement raw material preparation.
There are 34 sinter plants referenced installations in European Union which produce 130 000 000 t of sinter /y (3 823 529 tons per site). Sinter plants generates from  472 and 4 492 g of sludge /t of sinter. The annual associated sludge production is between 61 360 and 583 983 t of sludge /year.
Cement industries can use sludge as a calcium and aluminium sources. There are 268 plants in Europe Union.  clinker annual production is 118 Mt/y.</t>
  </si>
  <si>
    <t>The aim of this synergy is to recover sand from food and drink industries and provide cement sector raw material preparation.
18 starch production installations are referenced European Union. They produce 11 058 000 t of raw material /y (614 333 t/site). 
Sand is  starch production process output resource. The annual sand volume is between 1,7 and 7 kg/ t of starch. The annual associated sand volume is from 16 587 to 77 406  t/y (between 921 and 4 300 t/site).
Cement industries are sand consumers. They require sand to produce clinker and finally cement. 268 cement plants are referenced in Europe Union. 118 000 000 tons of clinker are produced each year (440 298 t per site).</t>
  </si>
  <si>
    <t>The aim of this synergy is to recover red mud, as a by-product of alumina production, and provide cement sector for clinker raw material preparation.
There are 18 alumina production plants which produce 6 200 000 tons of aluminium per year (344 444 t/site). These facilities generate between 600 and 15000 kg of red mud per tons of aluminium produced. The annual red mud production is to 3 720 000 from 9 300 000 t/y (206 666 - 516 666 tons per site).
Cement industries are red mud consumers. These plants use red mud as an iron source to produce clinker and finally cement. 268 cement plants are referenced in Europe Union. 118 000 000 tons of clinker are produced each year (440 298 t per site).</t>
  </si>
  <si>
    <t>The aim of this synergy is to recover blast furnace slag to provide cement sector for clinker raw material preparation.
Blast furnace is a widely used steelmaking process with 86 installations in European Union. Blast furnaces annual production is 116 280 000 t/y of hot metal (1 352 093 t/site). Blast furnaces generate 347 and 450 kg of slag /t of hot metal. The annual slag production is between 40 302 648 and 52 326 000 t/y (468 635 - 608 441 t/y/site).
Cement industries are steel slag consumers. They use BF slag as silicon, alumina and calcium source to produce clinker and finally cement. 268 cement plants are referenced in Europe Union. 118 000 000 tons of clinker are produced each year (440 298 t per site).</t>
  </si>
  <si>
    <t>Recover  and transport blast furnace slag as a silicon alumina and calcium supply</t>
  </si>
  <si>
    <t>The aim of this synergy is to recover aluminium oxides from non ferrous metals salt slag process and provide cement sector for clinker raw material preparation.
There are 18 aluminium production referenced installations in European Union. European annual aluminium production is around 6 200 000 t/year (344 444 t/site).
Salt slag process generates between 480 and 680 kg of aluminium oxides/t of salt slag. The associated aluminium oxides production is 2 976 000 - 4 216 000 t/y (165 333 - 234 222 t/site).
Cement industries require aluminium oxides to produce clinker and finally cement. 268 cement plants are referenced in Europe Union. 118 000 000 tons of clinker are produced each year (440 298 t per site).</t>
  </si>
  <si>
    <t>Recover aluminium oxide</t>
  </si>
  <si>
    <t>The aim of this synergy is to recover waste incineration bottom ash to provide pelletisation plants in steel sector.
93 hazardous waste incineration plants are referenced in European Union. Annual volume of hazardous waste is 2 720 000 t/y (29 247 per incineration plant). Incineration plants generate from 83 to 246 kg of bottom ash /t of waste treated. The annual bottom ash volume is 225 760 - 669 120 t/y (2 428 - 7 194 t/site).
Bottom ash are ferrous metals sources. Pelletisation plants require ferrous metal. There are only 6 pelletisation plants in European Union. 27 000 000 of pellets are produced each year or 4 500 000 tons per site.</t>
  </si>
  <si>
    <t>The aim of this synergy is to recover waste incineration bottom ash to provide pelletisation plants in steel sector.
There are 950 coal combustion referenced process in European Union. Coal combustion uses 186 000 t of coal/year and generates bottom ash.
Bottom ash are ferrous metals sources. Pelletisation plants require ferrous metal. There are only 6 pelletisation plants in European Union. 27 000 000 of pellets are produced each year or 4 500 000 tons per site.</t>
  </si>
  <si>
    <t>The aim of this synergy is to recover EFA slag to provide grinding cement mill.
Electrical arc furnace is direct smelting scrap steelmaking route. This technology is now widely used in European Union with 231 referenced installations. European annual EAF steel production is around 83 000 000 t/year. 
EAF generate 60 to 270 kg of slag per tons of liquid steel. The associated EAF slag  annual volume is between 4 963 800  and 22 337 100 tons (21 488 - 96 697 t/site).
Cement industries are steel slag consumers. They use EAF slag as silicon, alumina and calcium source to produce cement. 268 cement plants are referenced in Europe Union. 157 000 000 tons of grey cement are produced each year (585 820 t per site).</t>
  </si>
  <si>
    <t>Recover and transport EF slag as a silicon alumina and calcium supply</t>
  </si>
  <si>
    <t>The aim of this synergy is to recover lime from Kraft pulping process in pulp and paper production sector, and provide waste incineration plant for flue gas treatment.
There are 192 pulp and paper production referenced installations in European Union which produce 41 800 000 t of pulp and paper /y. 77 Kraft pulping process are referenced and produce 25 200 000 t of pulp/y.
A Kraft pulping process generates between 10 and 20 kg of lime / ADT Pulp or between 252 000 and 504 000 t of lime/y.
Incineration plants use lime for flue gas treatment.
467 municipal waste treatment plants are referenced in European Union. Common waste annual volume is 45 014 300 tons (96 390 per incineration plant).</t>
  </si>
  <si>
    <t>The aim of this synergy is to recover sulphuric acid, as a by-product of lead and tin process production in non-ferrous metals industries, and provide sulphate process in inorganic chemical industries.
There are 33 lead and tin production referenced installations in European Union. European annual lead and tin production is around 1 770 000 t/year.
A lead and tin production plant generates 100 000 t of sulphuric acid /y.
There are 11 inorganic chemicals plants which produce 300 000 t of precipitated silica and silica gel per year (23 064 t/site). These processes require 660 kg of sulphuric acid / t of final product. The associated annual demand is 198 000 t/y (18 000 t/site)</t>
  </si>
  <si>
    <t>The aim of this synergy is to recover blast furnace slag to provide secondary copper smelting pyrometallurgical route.
Blast furnace is a widely used steelmaking process with 86 installations in European Union. Blast furnaces annual production is 116 280 000 t/y of hot metal (1 352 093 t/site). Blast furnaces generate 347 and 450 kg of slag /t of hot metal. The annual slag production is between 40 302 648 and 52 326 000 t/y (468 635 - 608 441 t/y/site).
104 copper production plants are referenced in European Union. These facilities produce 4 800 000 tons of copper per year (46 153 tons per site). External residues and waste are used as non-ferrous metals source. 50 000 to 70 000 tons of external residues and wastes are used in secondary copper smelting pyrometallurgical route. BF slag can be used as external residues and wastes.</t>
  </si>
  <si>
    <t>The aim of this synergy is to recover waste incineration ashes to provide secondary copper smelting pyrometallurgical route.
93 hazardous waste incineration plants are referenced in European Union. Annual volume of hazardous waste is 2 720 000 t/y (29 247 per incineration plant). Incineration plants generate from 32 to 177 kg of ashes /t of waste treated. The annual ashes volume is 87 040 - 284 240 t/y (935 - 3 056 t/site)
104 copper production plants are referenced in European Union. These facilities produce 4 800 000 tons of copper per year (46 153 tons per site). External residues and waste are used as non-ferrous metals source. 50 000 to 70 000 tons of external residues and wastes are used in secondary copper smelting pyrometallurgical route. Ashes can be used as external residues and wastes.</t>
  </si>
  <si>
    <t>The aim of this synergy is to recover sludges from crude atmospheric distillation in refining industries to provide secondary copper smelting pyrometallurgical route.
110 crude atmospheric distillation units are referenced in European Union. They produce  864 000 000 m3/ per year (7 854 545 m3/site). A crude unit of 8 700 000 t/year yield generate 6,3 to 20 tons of sludges are generated per day (2 300 - 7300 tons per year).
104 copper production plants are referenced in European Union. These facilities produce 4 800 000 tons of copper per year (46 153 tons per site). External residues and waste are used as non-ferrous metals source. 50 000 to 70 000 tons of external residues and wastes are used in secondary copper smelting pyrometallurgical route. Refining sludges can be used as external residues and wastes.</t>
  </si>
  <si>
    <t>The aim of this synergy is to recover sludges from sinter plants to provide secondary copper smelting pyrometallurgical route.
There are 34 sinter plants referenced installations in European Union which produce 130 000 000 t of sinter /y (3 823 529 tons per site). Sinter plants generates from  472 and 4 492 g of sludge /t of sinter. The annual associated sludge production is between 61 360 and 583 983 t of sludge /year (1 805 - 9 490 t/site).
104 copper production plants are referenced in European Union. These facilities produce 4 800 000 tons of copper per year (46 153 tons per site). External residues and waste are used as non-ferrous metals source. 50 000 to 70 000 tons of external residues and wastes are used in secondary copper smelting pyrometallurgical route. Sinter plants sludges  can be used as external residues and wastes.</t>
  </si>
  <si>
    <t>The aim of this synergy is to recover sand from food and drink industries and aluminium production.
18 starch production installations are referenced European Union. They produce 11 058 000 t of raw material /y (614 333 t/site). 
Sand is starch production process output resource. The annual sand volume is between 1,5 and 7 kg/ t of starch. The annual associated sand volume is from 16 587 to 77 406  t/y (between 921 and 4 300 t/site).
18 aluminium production plants are referenced in European Union. These facilities produce 6 200 000 tons of aluminium per year (344 444 tons per site). Primary aluminium production require 0 to 1,5 kg of fluxes /t. 
Sand can be used as fluxes.</t>
  </si>
  <si>
    <t>The aim of this synergy is to recover sludges from sodium chlorate process and provide and lead and tin production.
There are 15 sodium chlorate sites. They produce 687 000 t/y of sodium chlorate (45 800 t/y per site).
Sodium chlorate production sites generate between 0,1 and 1 kg of sludges / ton of sodium chlorate produced. The associated annual production is between 69 - 687 t of sludges/y.
There are 33 lead and tin production referenced installations in European Union. European annual lead and tin production is around 1 770 000 t/year (53 636 t/site).
These plants use several secondary materials for lead and tin production. Sludges can be recovered as a secondary material.</t>
  </si>
  <si>
    <t>The aim of this synergy is to recover sludges from sinter plants to provide secondary copper smelting pyrometallurgical route.
There are 34 sinter plants referenced installations in European Union which produce 130 000 000 t of sinter /y (3 823 529 tons per site). Sinter plants generates from  472 and 4 492 g of sludge /t of sinter. The annual associated sludge production is between 61 360 and 583 983 t of sludge /year (1 805 - 9 490 t/site).
There are 33 lead and tin production referenced installations in European Union. European annual lead and tin production is around 1 770 000 t/year (53 636 t/site).
These plants use several secondary materials for lead and tin production. Sludges can be recovered as a secondary material.</t>
  </si>
  <si>
    <t>The aim of this synergy is to recover coke oven gas from coke ovens and provide combustion plants for iron and steel process gases combustion.
There are 38 coke oven plants in European Union. They produce 50 340 000 t of coke /y. (1 324 736 T/site)
Coke ovens process generates 360 - 518 Nm3 of coke oven gas / t of coke. The annual COG volume is between 18 122 400 000 - 26 076 120 000 Nm3/y. (476 905 263 - 686 213 684 Nm3/site).
In European Union, combustion of gaseous fuels generate 713 000 MWh of electricity per year. These plants can use steelmaking process gas, in particular COG, as gaseous fuel.</t>
  </si>
  <si>
    <t>The aim of this synergy is to recover blast furnace gas and provide combustion plants for iron and steel process gases combustion.
Blast furnace is a widely used steelmaking process with 86 installations in European Union. Blast furnaces annual production is 116 280 000 t/y of hot metal (1 352 093 t/site). Blast furnace generate 10 000 - 70 000 Nm3 of blast furnace gas per hour. The specific factor is 1200 - 2000 Nm3 of BF gas per ton of hot metal produce. The annual BF gas production is 139 536 000 000 - 232 560 000 000 Nm3/y (1 622 511 627 - 2 704 186 046 Nm3/y/site).
In European Union, combustion of gaseous fuels generate 713 000 MWh of electricity per year. These plants can use steelmaking process gas, in particular BF gas, as gaseous fuel.</t>
  </si>
  <si>
    <t>The aim of this synergy is to recover blast furnace gas and provide combustion plants for iron and steel process gases combustion.
Basic oxygen furnaces is a steelmaking route. This technology is widely used in European Union with 101 referenced installations. European annual BOF steel production is around 123 Mt/year. (1 220 594 T/site).
BOF process generates 350 - 700 MJ of BOF gas per ton of liquid steel. The annual BOF gas energy is  43 148 000 000 - 64 722 000 000 MJ/y (427 270 000 - 640 811 881 MJ/site).
In European Union, combustion of gaseous fuels generate 713 000 MWh of electricity per year. These plants can use steelmaking process gas, in particular BOF gas, as gaseous fuel.</t>
  </si>
  <si>
    <t>The aim of this synergy is to recover limestone fines from Solvay process to provide raw material preparation in cement industries.
Solvay processes 15 000 000 tons of sodium carbonate per year. 30 - 300 kg of limestone fines per ton of final product are emitted. The annual limestone fines volume is 450 000 - 2 475 000 tons per year.
Cement industries are steel fines consumers and use limestone as raw material. 268 cement plants are referenced in Europe Union. Limestone is used for raw material preparation. 118 000 000 tons of clinker (440 298 per site) and 267 000 000 tons of grey cement (996 268) are produced each year.</t>
  </si>
  <si>
    <t>The aim of this synergy is to recover lime from waste incineration flue gas treatment and provide sinter plants.
467 municipal waste incineration plants are referenced in European Union. They treat 45 014 300 tons of waste per year (93 390 tons per site). Flue gas treatment generate 15 to 35 kg of semi-wet scorption per ton of waste treated or 675 214 - 1 576 000 t/y. This semi-wet scorption contain lime and slurry. 
There are 34 sinter plants referenced installations in European Union which produce 130 000 000 t of sinter /y (3 823 529 tons per site). Sinter plants require 10,20 kg of lime per ton of sinter. The annual associated demand is 1 326 000 tons (39 000 tons)</t>
  </si>
  <si>
    <t>From incinerator lime injection acid gas abatement system</t>
  </si>
  <si>
    <t>The aim of this synergy is to separate then recover acid and nickel from electrolyte bleed, as a by-product of copper primary smelting route, and provide waste treatments industries for physico chemical treatment.
There are 104 copper production referenced installations in European Union. European annual  copper production is around 4 800 000 t/year (46 153 tons per site).
Primary copper smelting pyrometallurgical route generates electrolyte bleed. This by-product is composed by two fractions : acid and nickel.
Acid can be used in waste treatment industries and nickel can be internally reused.
618 physico chemical treatment process reference are referenced in European Union. They treat 1 883 000 tons of waste per year (3 046 tons per site) and require 5,10 kg of acid per ton of waste treated. The annual acid demand is 9 603 tons or 92 tons per site.</t>
  </si>
  <si>
    <t>The aim of this synergy is to recover non-ferrous metals from electro porcelain manufacturing waste water to provide nickel, cobalt and alloys production in non-ferrous metals industries.
22 ceramic sites produce 150 000 t/y technical electro porcelain ceramic products (6 818 t/site). Water after flocculation contain 0,656 mg of non-ferrous metals per liter.
7 non-ferrous metals industries produce 250 000 tons of nickel and 17 050 tons of cobalt per year.
15 non-ferrous metals industries produce 2 160 000 tons of zinc and cadmium per year.
18 non-ferrous metals industries produce 6 200 000 tons of aluminium per year.
Water electro porcelain after flocculation may be a non-ferrous metal source.</t>
  </si>
  <si>
    <t>The aim of this synergy is to recover ammonia from vacuum distillation in refining industries to provide NPK fertilisers production.
101 vacuum distillations units are referenced in European Union. They produce 362 000 0000 m3/ per year (3 584 158 m3/site). Waste water from vacuum distillation contain ammonia (NH3) and hydrogen sulphur (H2S).
38 NPK fertiliser production plants are referenced in European Union. They produce 150 000 tons of NPK per year (3 584 158) and generate  copper production plants are referenced in European Union. These facilities produce 4 800 000 tons of copper per year (46 153 tons per site) and require ammonia.</t>
  </si>
  <si>
    <t>Recover ammonia</t>
  </si>
  <si>
    <t>The aim of this synergy is to recover ammonia from vacuum distillation in refining industries to provide NPK fertilisers production.
Gas separation processes potential releases into water include spillages of hydrocarbons, H2S, NH3 and amines.
25 UREA and UAN fertiliser production plants are referenced in European Union. They produce 7 909 000 tons of UREA per year (316 360 per site) and require ammonia 567 - 735 kg of NH3 per ton of UREA. The associated demand is 4 484 403 - 5 813 115 t/y (179 376 - 232 525 t/site)</t>
  </si>
  <si>
    <t>The aim of this synergy is to recover non-ferrous metals from electro porcelain manufacturing waste water to provide nickel, cobalt, aluminium, zinc and alloys production in non-ferrous metals industries.
22 ceramic sites produce 150 000 t/y technical electro porcelain ceramic products (6 818 t/site). Water after flocculation contain 0,656 mg of non-ferrous metals per liter.
7 non-ferrous metals industries produce 250 000 tons of nickel and 17 050 tons of cobalt per year.
15 non-ferrous metals industries produce 2 160 000 tons of zinc and cadmium per year.
18 non-ferrous metals industries produce 6 200 000 tons of aluminium per year.
33 non ferrous-metals industries produce 1 770 000 tons of lead and tin per year.
Water electro porcelain after flocculation may be a non-ferrous metal source.</t>
  </si>
  <si>
    <t>The aim of this synergy is to separate then recover slag ash from waste incineration thermal treatment and provide secondary copper smelting pyrometallurgical production.
467 municipal incineration plants are referenced in European Union. Annual volume of municipal waste incinerated is  45 014 300 t/y. Incineration plants generate from 200 to 350 kg of slag ash per ton of waste treated. The annual slag ash volume is 9 002 860 - 15 755 005 t/y (19 278 - 33 736 t./y)
104 copper production plants are referenced in European Union. These facilities produce 4 800 000 tons of copper per year (46 153 tons per site). External residues and waste are used as non-ferrous metals source. 50 000 to 70 000 tons of external residues and wastes are used in secondary copper smelting pyrometallurgical route. slag ash from waste incineration can be used as external residues and wastes.</t>
  </si>
  <si>
    <t>The aim of this synergy is to recover sludges from waste water treatment and provide fertilisers companies.
Water treatment sludges are nutrients-rich flows.
Fertilisers companies can reuse drinking water sludges as nutrients source and mineral source (Calcium).
As an example, 17 CAN productors use dolomite, limestone and CaCO3 to produce 7 416 000 tons per year (436 235 t/site). 
38 plants produce a NPK fertilisers. The annual NPK fertilisers flow rate is 150 000 t/y (3947 tons per site). This companies can use nutrients from drinking water sludges.</t>
  </si>
  <si>
    <t>The aim of this synergy is to send waste plastics (AMP) from automotive industries to plastic manufacturers.
Waste plastics can be recover from plastic parts manufacturing in automotive sector and can be recycle by plastic manufacturers. In a real case from SCALER D2.1, waste plastic are reused in blast media production (industrial equipment manufacturing).</t>
  </si>
  <si>
    <t>The aim of this synergy is to recover poultry dejections to perform tanning phase in textile industries.
A bio-treatment is suitable to transform the animal by-product (in  this case poultry dejections) into a technical product (DPM), a  bating agent for tanning.
A large amount of animal by-products is required to be transformed in bating agent, reducing the environmental impact.</t>
  </si>
  <si>
    <t>The aim of this synergy is to recover sulphur from refining industries and provide fertilisers production companies. This synergy is base on a real case.
Equinor Refining Denmark removes sulphur from the oil and converts the sulphur into ammonium thiosulfate (ATS) that boost the growth of plants. Instead of contaminating the air by burning, the sulphur has become a valuable resource sold to the large fertilizer companies in Denmark.
ATS is a liquid fertilizer, making it easier for the farmers to dose the amount and thus fertilise more efficiently. ATS causes the plants to absorb the Sulphur and other nutrients better, which leads to less evaporation of nitrogen. So, instead of becoming acid and damaging rain, the sulphur is channelled to the right crops as a booster for their growth.</t>
  </si>
  <si>
    <t>The aim of this synergy is to recover blast furnace slag to provide brick and roof tiles manufacturing in ceramics industries.
Blast furnace is a widely used steelmaking process with 86 installations in European Union. Blast furnaces annual production is 116 280 000 t/y of hot metal (1 352 093 t/site). Blast furnaces generate 347 and 450 kg of slag /t of hot metal. The annual slag production is between 40 302 648 and 52 326 000 t/y (468 635 - 608 441 t/y/site).
Blast furnace slag is mostly composed of CaCO3, Fe2O3, CaO, Al2O3 and SiO2 (more details in composition Annex). 
Blast furnace slag can be used as a CaCO3, Fe203, CaO, Al2O3 and SiO2 source in order to replace clay for bricks and roof tiles manufacturing.
1022 brick and roof tiles manufacturing are referenced in European Union. 55 000 000 tons of bricks and roof tiles are produced per year. It require 350 kg of clay per ton of bricks and roof tiles produced. The annual clay demand is 19 250 000 tons per year (18 836 tons per site).</t>
  </si>
  <si>
    <t>Extract mineral products (silicon, calcium, aluminium) from fly ash</t>
  </si>
  <si>
    <t>The aim of this synergy is to recover HCl from basic chemical industries and provide power plants.
A basic chemical plant produce NaOH, sodium silicate, phthalimidoperoxycaproic acid and functional flurorpolyethers. This plant produces 10 565,5 tons of final product per year and generates hydrochloric acid wastes. 
A combined cycle power plant is located on the same industrial cluster. It generates 860 000 MWh of electricity per year.</t>
  </si>
  <si>
    <t>The aim of this synergy is to recover Pd precious metals from primary copper smelting and provide catalytic cracking FCC in refineries.
There are 104 copper production referenced installations in European Union. European annual  copper production is around 4 800 000 t/year (46 154 t/site). 
A primary copper smelter/refinery generate 960 tons of precious metals per year. For all European industries, this volume amounts to 4 430 tons. Precious metals include Au, Ag, Pt, Rh and Pd.
There are 61 catalytic cracking referenced installations. The annual catalytic cracking feedstock for FCC processes is 135 400 000 tons. It require between 0,4 and 2,5 kg of catalysts per ton of feedstock catalytic cracking. Precious metals are catalysts.</t>
  </si>
  <si>
    <t>The aim of this synergy is to recover lime from Kraft pulping process in pulp and paper production sector, and provide electrical arc furnaces for steel manufacturing.
There are 192 pulp and paper production referenced installations in European Union which produce 41 800 000 t of pulp and paper /y. 77 Kraft pulping process are referenced and produce 25 200 000 t of pulp/y.
A Kraft pulping process generates between 10 and 20 kg of green liquor sludge / ADT Pulp or between 252 000 and 504 000 t of green liquor sludge per year. Green liquor sludges are composed by 75 - 85 mg of Cr/kg of green liquor sludge (and other several elements detailed in composition box) or 19 - 21 tons of Cr per year.
Electrical arc furnace is direct smelting scrap steelmaking route. This technology is now widely used in European Union with 231 referenced installations. European annual EAF steel production is around 83 000 000 t/year. EAF use 23 - 363 kg of high alloy and stainless steel per ton of liquid steel produce or 1 909 000 - 30 129 000 tons of high alloy and stainless steel mainly made of Cr, Fe and Ni (Mo, Si, Mn, P and S traces)</t>
  </si>
  <si>
    <t xml:space="preserve">The aim of this synergy is to recover Pt precious metals from metal oxide process and provide catalytic cracking FCC in refineries.
There are 66 formaldehyde production referenced installations in European Union which produce around 6 000 000 t/year (90 909 t/site). 3 600 000 tons are produced from metal oxide process and 36 - 216 tons are spent catalyst.
The aim of the synergy is to recover spent catalyst and reuse them in refining sector.
There are 61 catalytic cracking referenced installations. The annual catalytic cracking feedstock for FCC processes is 135 400 000 tons. It require between 0,4 and 2,5 kg of catalysts per ton of feedstock catalytic cracking. </t>
  </si>
  <si>
    <t>The aim of this synergy is to recover Al2O3 from basic oxygen furnaces slag to provide aluminium production
Basic oxygen furnaces is a steelmaking route. This technology is widely used in European Union with 101 referenced installations. European annual BOF steel production is around 123 280 000/year. (1 220 594 T/y). 85 - 165 kg of BOF slag is generated per ton of steel produced. 2 - 13 % of the slag tis composed by Al2CO3. The Al2CO3 associated annual volume is 209 576 - 2 644 356 tons per year (around 2 000 tons per site).
18 aluminium production sites are referenced in European Union. 6 200 000 tons of aluminium are produce each year (344 444 per site). It require 2065 - 2275 kg of Bauxite per ton of aluminium. Bauxite is a rich-Al2O3 material. The annual associated demand is 12 803 000 - 14 105 000 tons of bauxite.</t>
  </si>
  <si>
    <t>The aim of this synergy is to recover Al2O3 from basic oxygen furnaces slag to provide aluminium production
Basic oxygen furnaces is a steelmaking route. This technology is widely used in European Union with 101 referenced installations. European annual BOF steel production is around 123 280 000/year. (1 220 594 T/y). 85 - 165 kg of BOF slag is generated per ton of steel produced. 2 - 13 % of the slag is composed by Al2CO3. The Al2CO3 associated annual volume is 209 576 - 2 644 356 tons per year (around 2 000 tons per site).
22 ceramic sites produce 150 000 t/y technical electro porcelain ceramic products (6 818 t/site).
These plants require 0 -200 kg of aluminium oxides per ton of electro porcelain. The annual aluminium oxides demand is 30 000 tons. Aluminium oxides and Al203 are the same product.</t>
  </si>
  <si>
    <t>The aim of this synergy is to recover tars from hydrogen peroxide manufacturing and provide waste co-incineration.
There are 23 hydrogen peroxide production referenced installations in European Union. European annual  hydrogen peroxide production is 1 423 000 t/y or 61 869 t/y/site. It generates between 0,78  and 2,4 kg of tars per ton of  hydrogen peroxide produce. The associated annual tars production is equivalent to 1 110 - 3 415 t/y (48 - 98 t /site)
In European Union, waste co-incineration uses 0,1 - 10 % of waste complement. Tars are fuel used as waste complement.</t>
  </si>
  <si>
    <t>The aim of this synergy is to recover oil from crude atmospheric distillation waste water and provide blast furnaces in steel industries.
110 crude atmospheric distillation are referenced in European Union. They produce 864 000 0000 m3 of petroleum products / per year (7 854 543 m3/site). These processes generate 0,08 - 0, 75 m3 of waste water per ton of final product. Waste water from crude atmospheric distillation is composed by five fractions : phenol, mercaptans, chlorides, H2S and oil.
Blast furnace is a widely used steelmaking process with 86 installations in European Union. Blast furnaces annual production is 116 280 000 t/y of hot metal (1 352 093 t/site). It require 30,1 kg of oil per ton of hot metal produced. The associated oil demand is 3 500 028 t/y.</t>
  </si>
  <si>
    <t>Sperate fractions and recover oil from waste water (possibility to recover phenol and mercaptians)</t>
  </si>
  <si>
    <t>The aim of this synergy is to recover waste wood from pulp and paper production sector, and provide combustion plants.
Wood waste refers to barks, sawdust and other wood waste.
There are 16 sulphite pulping process referenced installations in European Union which produce 2 200 000 t of pulp /y. This process generate 198 000 tons of bark and 66 000 - 110 000 tons of sawdust per year. There are rejects from coarse screening.
There are 77 Kraft pulping processes referenced installations in European Union which produce 25 200 000 t of pulp /y. This process generate 151 200 tons of wood waste per year.
Integrated gasification combined cycle processes use biomass complements like wood waste.</t>
  </si>
  <si>
    <t>The aim of this synergy is to recover sludge from sugar beet production process to provide cement raw material preparation.
129 plants produce sugar from beet. The annual associated sugar production is around 16 700 000 t/y (129 457 t/site). Sugar beet industries generate 230  kg of soil and green waste / t of sugar which is equivalent to 3 841 000 t of soil and green waste per year (29 775 par facility).
Soil and green wastes are composed by sludges, beet soil, beet tails, leaves. 
The aim of this synergy is to separate beet residues and leaves from sludge, then valorise green waste to agricultural sector and send sludge as a waste co-incineration product.
In European Union, waste co-incineration uses 0,1 - 10 % of waste complement. Sludge s are waste complement for combustion.</t>
  </si>
  <si>
    <t>Recover sludge for incineration</t>
  </si>
  <si>
    <t>The aim of this synergy is to recover sludges from vinyl chloride monomer manufacturing and provide waste co-incineration.
There are 26 vinyl chloride monomer manufacturing referenced installations in European Union. European annual vinyl chloride monomer production is 8 293 000 tons per year or 318 961 tons per year and per site. It generates between 0,07 - 2,1 kg/t of sludges per ton of vinyl chloride monomer. The associated annual sludges production is equivalent to 580 - 17 415 t/y (22 - 669 t /site)
In European Union, waste co-incineration uses 0,1 - 10 % of waste complement. Sludges are waste complement for combustion.</t>
  </si>
  <si>
    <t>The aim of this synergy is to recover oil from visbreaking operation waste water and provide wales kiln operation in zinc and cadmium industries.
52 visbreaking process are referenced in European Union. They produce 23 400 000 m3 of petroleum products / per year (450 000 m3/site). These processes generate 0,08 - 0, 75 m3 of waste water per ton of final product. Waste water from crude atmospheric distillation is composed by five fractions : phenol, COD, HCN, NH3, H2S and oil. The aim of this synergy is to separate fractions and recover 
Waelz kiln operation is a zinc recovery route. 15 processes are referenced in European Union. They produce 2160 000 t/y (144 000 t/site) and require 0,001 m3 per ton of final product or 2 160 m3 per year.</t>
  </si>
  <si>
    <t>Sperate fractions and recover oil from waste water (possibility to valorise other fractions)</t>
  </si>
  <si>
    <t xml:space="preserve">The aim of this synergy is to recover carcase from slaughterhouses and provide burning operation in cement industries. This synergy refers to poultry carcase valorisation but can be applied for others animals carcases.
Around 191 poultry slaughterhouses are refenced in European Union. visbreaking process are referenced in European Union. They produce 3 906 900  tons of poultry carcase (20 455 tons per site). By products of slaughterhouses are carcase, blood, bones and fat.
There are 268 cement plants in Europe Union which produce 118 Mt/y of clinker and 157 mT/y of grey cement. Carcase can be use in clinker kiln for  </t>
  </si>
  <si>
    <t>Recover and transport carcase to cement plants</t>
  </si>
  <si>
    <t>The aim of this synergy is to reuse production of pulp and paper plants cooling water to supply refining industries cooling system.
72 mechanical pulping and mechanical pulping processes are referenced in European Union. The annual pulp production is 13 600 000 tons per year (188 888 tons per site). 
Cooking and water grinding temperature process is 70 - 170 °C. 0 - 20 m3 of cooling water is used per ton of pulp produce. Cooling steam/water temperature is between 95 and 125 °C.
As an example, in refining industries, vacuum distillation process generate 3 - 5 m3 of used cooling water per ton of atmospheric residues. The temperature process is between 335 and 400 °C and the cooling water temperature change is around 17°C.</t>
  </si>
  <si>
    <t>The aim of this synergy is to reuse production of pulp and paper plants cooling water to supply fertilisers industries cooling system.
72 mechanical pulping and mechanical pulping processes are referenced in European Union. The annual pulp production is 13 600 000 tons per year (188 888 tons per site). 
Cooking and water grinding temperature process is 70 - 170 °C. 0 - 20 m3 of cooling water is used per ton of pulp produce. Cooling steam/water temperature is between 95 and 125 °C.
In 2000, 24 500 m3 of cooling water per day were used to produce 663 000 ton of CAN. The temperature change was 10°C.
17 CAN production plants are referenced in European Union. 7 416 000 tons of CAN are produced per year (436 235 tons per site). The process temperature is 180 °C (neutralisation  temperature). The associated cooling water volume required for the European production is 274 045 m3 per year.</t>
  </si>
  <si>
    <t>See table 7.1</t>
  </si>
  <si>
    <t>See table 7.2</t>
  </si>
  <si>
    <t>See table 7.3</t>
  </si>
  <si>
    <t>See table 7.4</t>
  </si>
  <si>
    <t>See table 7.5</t>
  </si>
  <si>
    <t>See table 7.6</t>
  </si>
  <si>
    <t>See table 7.7</t>
  </si>
  <si>
    <t>The purpose of this synergy is to provide industries with fuels from industrial wastes rather than using traditional fuels.
In European Union 266 facilities are referenced as waste treatment plants aimed produce material used as fuel. They treat 5 297 000 tons of wastes per year (19913 per site) in order to produce various solid and liquid fuels.
See more detail in table 7.7</t>
  </si>
  <si>
    <t>The purpose of this synergy is to provide industries with fuels from industrial wastes rather than using traditional fuels.
In European Union 266 facilties are referenced as waste treatment plants aimed produce material used as fuel. They treat 5 297 000 tons of wastes per year (19913 per site) in order to produce various solid and liquid fuels.
See more detail in table 7.7.</t>
  </si>
  <si>
    <t>130 000 000 t/y</t>
  </si>
  <si>
    <r>
      <t xml:space="preserve">Al2O3: 2- 13 Vol% (ave: 7.5%)
CaO: 42- 46 Vol% (ave: 44%)
Fe: 0- 17 Vol% (ave: 9.5%)
</t>
    </r>
    <r>
      <rPr>
        <sz val="11"/>
        <color theme="1" tint="0.499984740745262"/>
        <rFont val="Calibri (Body)_x0000_"/>
      </rPr>
      <t>MgO: 6- 7 Vol%
MnO: 0- 5 Vol%
P2O5: 0- 2 Vol%
S: 0- 1 Vol%</t>
    </r>
    <r>
      <rPr>
        <sz val="11"/>
        <color theme="1"/>
        <rFont val="Calibri"/>
        <family val="2"/>
        <scheme val="minor"/>
      </rPr>
      <t xml:space="preserve">
SiO2: 11- 34 Vol% (22.5%)</t>
    </r>
  </si>
  <si>
    <t>829 - 1658 t/y (ave: 1'244 t/y)</t>
  </si>
  <si>
    <t>252 000 - 504 000 t/y (ave: 378'000)</t>
  </si>
  <si>
    <t>landfilled</t>
  </si>
  <si>
    <t>depends on matrix of slag, heavy metal load and appliation of the glass thereafter</t>
  </si>
  <si>
    <t xml:space="preserve"> 107 945 - 215 890 t/y (ave: 161'918 t/y)</t>
  </si>
  <si>
    <t>40 302 648 - 52 326 000 t/y (ave: 46'314'324 t/y)</t>
  </si>
  <si>
    <t>418 000 - 836 000 t/y (ave: 627'000 t/y)</t>
  </si>
  <si>
    <t xml:space="preserve">possible </t>
  </si>
  <si>
    <t xml:space="preserve">difficult </t>
  </si>
  <si>
    <t>Baseline scenario (before the synergy was/is put in place)</t>
  </si>
  <si>
    <t>Landfilled</t>
  </si>
  <si>
    <t>Y</t>
  </si>
  <si>
    <t>Current practice: valorised</t>
  </si>
  <si>
    <r>
      <t xml:space="preserve">Comments </t>
    </r>
    <r>
      <rPr>
        <sz val="14"/>
        <color theme="1"/>
        <rFont val="Calibri"/>
        <family val="2"/>
        <scheme val="minor"/>
      </rPr>
      <t>(e.g. current practice, etc.)</t>
    </r>
  </si>
  <si>
    <t>N</t>
  </si>
  <si>
    <t>incinerated</t>
  </si>
  <si>
    <t>WWTP</t>
  </si>
  <si>
    <t>-</t>
  </si>
  <si>
    <t xml:space="preserve">Calculation: </t>
  </si>
  <si>
    <t>Analyze</t>
  </si>
  <si>
    <t xml:space="preserve">Results: </t>
  </si>
  <si>
    <t>Impact assessment</t>
  </si>
  <si>
    <t xml:space="preserve">Product: </t>
  </si>
  <si>
    <t>1 year _All direct synergies (of project SCALER H2020)</t>
  </si>
  <si>
    <t xml:space="preserve">Method: </t>
  </si>
  <si>
    <t>IMPACT 2002+ (vQ2.29) (March 2019) V2.29 / IMPACT 2002+</t>
  </si>
  <si>
    <t xml:space="preserve">Indicator: </t>
  </si>
  <si>
    <t>Damage assessment</t>
  </si>
  <si>
    <t xml:space="preserve">Skip categories: </t>
  </si>
  <si>
    <t>Never</t>
  </si>
  <si>
    <t xml:space="preserve">Exclude infrastructure processes: </t>
  </si>
  <si>
    <t>No</t>
  </si>
  <si>
    <t xml:space="preserve">Exclude long-term emissions: </t>
  </si>
  <si>
    <t xml:space="preserve">Per impact category: </t>
  </si>
  <si>
    <t xml:space="preserve">Sorted on item: </t>
  </si>
  <si>
    <t>Damage category</t>
  </si>
  <si>
    <t xml:space="preserve">Sort order: </t>
  </si>
  <si>
    <t>Ascending</t>
  </si>
  <si>
    <t>Unit</t>
  </si>
  <si>
    <t>Total</t>
  </si>
  <si>
    <t>_All direct synergies</t>
  </si>
  <si>
    <t>Climate change (IPCC 2007, 100a)</t>
  </si>
  <si>
    <t>kg CO2-eq</t>
  </si>
  <si>
    <t>Climate change (IPCC 2013, 100a)</t>
  </si>
  <si>
    <t>Climate change (IPCC 2013-plane corr)</t>
  </si>
  <si>
    <t>Human health</t>
  </si>
  <si>
    <t>DALY</t>
  </si>
  <si>
    <t>Ecosystem quality</t>
  </si>
  <si>
    <t>PDF.m2.y</t>
  </si>
  <si>
    <t>Resources</t>
  </si>
  <si>
    <t>MJ</t>
  </si>
  <si>
    <t>Freshwater withdrawal (excl. turbined)</t>
  </si>
  <si>
    <t>m3</t>
  </si>
  <si>
    <t>Water consumption (to air) (EI3)</t>
  </si>
  <si>
    <t>Water consumption (W-R) (EI3)</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</si>
  <si>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</si>
  <si>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</si>
  <si>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</si>
  <si>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</si>
  <si>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</si>
  <si>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</si>
  <si>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</si>
  <si>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</si>
  <si>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</si>
  <si>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</si>
  <si>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</si>
  <si>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</si>
  <si>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</si>
  <si>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</si>
  <si>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</si>
  <si>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</si>
  <si>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</si>
  <si>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</si>
  <si>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</si>
  <si>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</si>
  <si>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</si>
  <si>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</si>
  <si>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</si>
  <si>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</si>
  <si>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</si>
  <si>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</si>
  <si>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</si>
  <si>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</si>
  <si>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</si>
  <si>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</si>
  <si>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</si>
  <si>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</si>
  <si>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</si>
  <si>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</si>
  <si>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</si>
  <si>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</si>
  <si>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</si>
  <si>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</si>
  <si>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</si>
  <si>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</si>
  <si>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</si>
  <si>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</si>
  <si>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</si>
  <si>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</si>
  <si>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</si>
  <si>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</si>
  <si>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</si>
  <si>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Climate change (IPCC 2013)</t>
  </si>
  <si>
    <t>048</t>
  </si>
  <si>
    <t>049</t>
  </si>
  <si>
    <t>050</t>
  </si>
  <si>
    <t>051</t>
  </si>
  <si>
    <t>052</t>
  </si>
  <si>
    <t>053</t>
  </si>
  <si>
    <t>054</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</si>
  <si>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</si>
  <si>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</si>
  <si>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</si>
  <si>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</si>
  <si>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</si>
  <si>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</si>
  <si>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</si>
  <si>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</si>
  <si>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</si>
  <si>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</si>
  <si>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</si>
  <si>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</si>
  <si>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</si>
  <si>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</si>
  <si>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</si>
  <si>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</si>
  <si>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</si>
  <si>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</si>
  <si>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</si>
  <si>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</si>
  <si>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</si>
  <si>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</si>
  <si>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</si>
  <si>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</si>
  <si>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</si>
  <si>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</si>
  <si>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</si>
  <si>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</si>
  <si>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</si>
  <si>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</si>
  <si>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</si>
  <si>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</si>
  <si>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</si>
  <si>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</si>
  <si>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</si>
  <si>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</si>
  <si>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</si>
  <si>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</si>
  <si>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</si>
  <si>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</si>
  <si>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</si>
  <si>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</si>
  <si>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</si>
  <si>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</si>
  <si>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</si>
  <si>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450 000 - 2 475 000 t/y (ave: 1'462'500 t/y)</t>
  </si>
  <si>
    <t>4 963 800  - 22 337 100 t/y (ave: 13'650'450 t/y)</t>
  </si>
  <si>
    <t>Incinerated</t>
  </si>
  <si>
    <t>The current practice is to send cokes residues to an incinerator near the site</t>
  </si>
  <si>
    <t>A lot of steel slags are reused in Cement sector</t>
  </si>
  <si>
    <t>Ban to landfill
Sold or incinerated</t>
  </si>
  <si>
    <t>In recent years, recovery of usable magnesia, dolomite and alumina bricks.
Landfill only for fractions that are not suitable for recovery.</t>
  </si>
  <si>
    <t>66% of BF slag are used in cement production
33% are used for road construction
1% other use</t>
  </si>
  <si>
    <t>Current practices : returned to the plant or landfilled</t>
  </si>
  <si>
    <t>Maybe sold ?</t>
  </si>
  <si>
    <t>Use in the brick and cement industry</t>
  </si>
  <si>
    <t xml:space="preserve">On-site recycling : 4,7 %
External use : 23,1 %
Sold : 10,4 %
Landfilled or stored : 61,4 %
</t>
  </si>
  <si>
    <t>incinerated or reused in the process</t>
  </si>
  <si>
    <t>Reused in various  firing process such as blaast generation in the hot stoves or for coke oven firing</t>
  </si>
  <si>
    <t>Gypsum : 100 000 t/y
Limestone and lime marn and chalk : 185 260 000 t/y
Chalk composition : CaCO3 06%, MgO 20-55% (I can procide the full composition)
Lime Marn : 96% CaCO3, 0-50% SiO2, 0-4% N2O
Limestone : 96% CaCO3, 0-20% Al203, 0-10 CaO, 20-55 MgO, 0-50 SiO2</t>
  </si>
  <si>
    <t>1 002 000 t of lime per year</t>
  </si>
  <si>
    <t>Salt Volume</t>
  </si>
  <si>
    <t>Coke volume</t>
  </si>
  <si>
    <t>Lime volume</t>
  </si>
  <si>
    <t>Refractory products european annual volume</t>
  </si>
  <si>
    <t>1 000 0000 t/y</t>
  </si>
  <si>
    <t>Boiler slag volume</t>
  </si>
  <si>
    <t>Slag annual volume</t>
  </si>
  <si>
    <t>Lime annual volume</t>
  </si>
  <si>
    <t xml:space="preserve">187 260 000 t/y of limestone, clay, shale, marl, and other Ca sources.
For information, 2 450 000 tons of wastes were used Ca source in 2004 
</t>
  </si>
  <si>
    <t>Lime annual volume
(Lime enriched with non-process elements)</t>
  </si>
  <si>
    <t xml:space="preserve">185 260 000 t/y of limestone, clay, shale, marl, and other Ca sources.
CaCO3 volume : 177 849 600 t/y
CaO volume : 0 - 18 526 000 t/y
For information, 2 450 000 tons of wastes were used Ca source in 2004 
</t>
  </si>
  <si>
    <t>Sludge annual production volume</t>
  </si>
  <si>
    <t>Sand volume</t>
  </si>
  <si>
    <t>187 260 000  t/y of limestone, clay, shale, marl, and other Si sources. 
Si volume : 0 - 92 630 000 t/y
For information, 1  500 000 tons of spent sand  were used Si  source in 2004</t>
  </si>
  <si>
    <t>Annual red mud production
Red mud omposition is detailled in the dedicated column</t>
  </si>
  <si>
    <t>185 260 000 t/y of limestone, clay, shale, marl, and other Al2O3 sources.
Al203 volume : 0 - 37 052 000 t/y
Fe203 volume : 0 - 11 115 600 t/y
For information
690 000 tons of wastes were used Al source in 2004
3 780 000 tons of wastes were used as Si-Al-Ca-Fe source in 2004
3 370 000 tons of wastes were used as Fe source in 2004.</t>
  </si>
  <si>
    <t>185 024 000 tons/y of limestone, clay, shale ;
7 198 000 tons/y of gypsum and anhydrite ;
and 20 296 000 tons of mineral additions 
are used for raw meal preparation.
Raw meal composition for clinker production :
SiO2  : 0.5 – 30  %
Al2O3  : 0.2 – 4  %
Fe2O3  : 50 – 93  %
Mn2O3  : 0.1 – 4  %
Fe2O3 and Mn2O3  : 0 - 2 %
CaO  : 0.1 – 34  %
MgO  : 0.5 – 7  %
K2O  : 0.1 – 1  %
Na2O  : 0.1 – 1  %
SO3(2)  : 0 – 3  %
Cl  : 0.0 – 0.3 %
TiO2  : 0.0 – 3  %
P2O5  : 0.0 – 1  %
ZrO2  :  %
CaCO3  :  %
"Loss on ignition
(CO2 + H2O), LOI 950(3)  : 0.1 – 30  %"
For information
3 780 000 tons of wastes were used as Si-Al-Ca-Fe source in 2004
3 370 000 tons of wastes were used as Fe source in 2004.</t>
  </si>
  <si>
    <t>Bottom ash volume</t>
  </si>
  <si>
    <t>Iron ore  : 25 245 000 - 26 055 000 t/y</t>
  </si>
  <si>
    <t>Clinker : 125 600 000 t/y
Gyspum : 7 850 000 t/y
Mineral additions : 21 980 000 t/y
Mineral addition composition for substitution : 
Al2O3 : 0 - 659400000 t/y 
 CaCO3 : 2110080000 - 2110080000 t/y 
 CaO : 0 - 747320000 t/y 
 Cl : 0 - 21980000 t/y 
 Fe2O3 : 0 - 2044140000 t/y 
 K2O : 0 - 109900000 t/y 
 LOSS_ON_IGNITION(CO2+H2O : 0 - 659400000 t/y 
 MgO : 0 - 153860000 t/y 
 Mn2O3 : 0 - 87920000 t/y 
 Na2O : 0 - 43960000 t/y 
 P2O5 : 0 - 43960000 t/y 
 SiO2 : 0 - 2176020000 t/y 
 SO3 : 0 - 87920000 t/y 
 TiO2 : 0 - 65940000 t/y 
 ZrO2 : 439600 - 439600 t/y</t>
  </si>
  <si>
    <t>50 000 - 70 000 t/y of slag</t>
  </si>
  <si>
    <t>COG volume</t>
  </si>
  <si>
    <t>BF gas volume</t>
  </si>
  <si>
    <t>BOF gas volume</t>
  </si>
  <si>
    <t>Comment 02.05.2019</t>
  </si>
  <si>
    <t>Incinerated (Quantis: consider landfilled)</t>
  </si>
  <si>
    <t>Road construction (Quantis: consider landfilled)</t>
  </si>
  <si>
    <t>Salt slag ban to landfill
Salt is recovered after full salt slag recycling process
Salt  can be reuse or sold</t>
  </si>
  <si>
    <t>ELEMENT : NaCl (40%) https://www.ncbi.nlm.nih.gov/pubmed/22480708
ELEMENT : KCl (20%) https://www.ncbi.nlm.nih.gov/pubmed/22480708</t>
  </si>
  <si>
    <t>3 100 000 t of salt slag
620 000 - 1 705 000 t of salt</t>
  </si>
  <si>
    <t>Demand range calculated from mineral wool composition
- SiO2 : 1 388 647 - 2 558 033 t/y
- Alkaline oxides : 18 272 - 657 780 t/y
- Earth alkaline oxides : 292 347 - 1 644 450 t/y
- B203 : 0 - 438,520
- Iron oxides : 0 - 438 520 (18 272 - 438 520 in case of stone wool) t/y
- Al203 : 0 - 840 497 (182 716 - 584 693 in case of slag wool) t/y
- TiO2 : 0 - 146 173 (18 272 - 146 173 in case of stone slag) t/y
- P2O5 : 0 - 54 815 t/y</t>
  </si>
  <si>
    <t>185 260 000 t/y of limestone, clay, shale, marl, and other Ca sources.
CaCO3 volume : 177 849 600 t/y
CaO volume : 0 - 18 526 000 t/y
For information, 2 450 000 tons of wastes were used Ca source in 2004</t>
  </si>
  <si>
    <t>61 360 - 583 983 t/y  (ave: 322'672 t/y)</t>
  </si>
  <si>
    <t>CALCIUM (assume 50%)
ALUMINIUM (assume 50%)</t>
  </si>
  <si>
    <t>16 587 - 77 406  t/y (ave: 46'997 t/y)</t>
  </si>
  <si>
    <t>Al2O3: 10 - 20 Weight%
CaO: 2 - 8 Weight%
Fe2O3: 30 - 60 Weight% (use 46%, ecoinvent default value)
Na2O: 2 - 10 Weight%
SiO2: 3 - 50 Weight%
TiO2: 0 - 25 Weight%</t>
  </si>
  <si>
    <t>3 720 000 - 9 300 000 t/y (ave: 6'510'000 t/y)</t>
  </si>
  <si>
    <t>Slag annual volume
Flow composition has been updated in the dedicated column</t>
  </si>
  <si>
    <t>40 302 648 - 52 326 000 t/y  (ave: 46'314'324 t/y)</t>
  </si>
  <si>
    <t>Si (Calcium 40% , Si 36% Al 10 , source: Amercian Slag Association)
Al
Ca</t>
  </si>
  <si>
    <t xml:space="preserve">4 052 000 tons/y EU-15 in 2010
16 000 tons of bottom ash for 1 000 000 tons of coal fired </t>
  </si>
  <si>
    <t>Can we model this synergy?</t>
  </si>
  <si>
    <t>SLAG FROM LADDLE
SLAG FROM FURNACE
Al2O3: 2 - 13 Vol% (7.5%)
Fe: 0 - 17 Vol% (8%)
MgO: 6 - 7 Vol%
MnO: 0 - 5 Vol%
P2O5: 0 - 2 Vol%
S: 0 - 1 Vol%
SiO2: 11 - 34 Vol% (22%)</t>
  </si>
  <si>
    <t>Al2O3: 0 - 4 mass% (2%)
CaCO3:  -  mass%
CaO: 0 - 34 mass% (17%)
Cl: 0 - 0 mass%
Fe2O3: 50 - 93 mass%
K2O: 0 - 1 mass% (0.5%)
LOSS_ON_IGNITION(CO2+H2O: 0 - 30 mass%
MgO: 0 - 7 mass% (3.5%)
Mn2O3: 0 - 4 mass% (2%)
Na2O: 0 - 1 mass% (0.5%)
P2O5: 0 - 1 mass% (0.5%)
SiO2: 0 - 30 mass% (15%)
SO3: 0 - 3 mass% (1.5%)
TiO2: 0 - 3 mass% (1.5%)</t>
  </si>
  <si>
    <t>Equivalent natural gas volume for the same Energy content : 
7 611 200 000 - 16 240 800 000 Nm3/y
6062529193</t>
  </si>
  <si>
    <t>Equivalent natural gas volume for the same Energy content : 
9 013 505 590 - 23 111 552 795 Nm3/y
average: 6062529193</t>
  </si>
  <si>
    <t>18 122 400 000 - 26 076 120 000 Nm3/y (ave: 22'099'000'000 Nm3)</t>
  </si>
  <si>
    <t>Lack of data.</t>
  </si>
  <si>
    <r>
      <t xml:space="preserve">Al2O3: 0 - 4 mass%
CaCO3:  -  mass%
</t>
    </r>
    <r>
      <rPr>
        <b/>
        <sz val="11"/>
        <color theme="1"/>
        <rFont val="Calibri"/>
        <family val="2"/>
        <scheme val="minor"/>
      </rPr>
      <t xml:space="preserve">CaO: 0 - 34 mass% (17%)
</t>
    </r>
    <r>
      <rPr>
        <sz val="11"/>
        <color theme="1"/>
        <rFont val="Calibri"/>
        <family val="2"/>
        <scheme val="minor"/>
      </rPr>
      <t>Cl: 0 - 0 mass%
Fe2O3: 50 - 93 mass%
K2O: 0 - 1 mass%
LOSS_ON_IGNITION(CO2+H2O: 0 - 30 mass%
MgO: 0 - 7 mass%
Mn2O3: 0 - 4 mass%
Na2O: 0 - 1 mass%
P2O5: 0 - 1 mass%
SiO2: 0 - 30 mass%
SO3: 0 - 3 mass%
TiO2: 0 - 3 mass%</t>
    </r>
  </si>
  <si>
    <t>1 110 - 3 415 t/y (ave: 2'262 t/y)</t>
  </si>
  <si>
    <t>580 - 17 415 t/y (ave: 8998 t/y)</t>
  </si>
  <si>
    <t>LHV solvent: 28 MJ/kg, LHV nat gas: 45.4 MJ/kg (proxy for modelling emissions)</t>
  </si>
  <si>
    <t>LHV: 20 - 30 MJ/kg (assume 25 MJ/kg)</t>
  </si>
  <si>
    <t>LHV: 41,93 - 44,38 MJ/t (assume 43 MJ/kg)</t>
  </si>
  <si>
    <t>LHV: 39,56 - 43 GT/t</t>
  </si>
  <si>
    <t>Equivalent natural gas volume for the same Energy content : 
8 104 427 329 - 11 661 370 435 Nm3/y (average: 9'882'899'000 Nm3)</t>
  </si>
  <si>
    <t>Separate the flow in 2 fractions : 
- One organic fraction with a High LHV value composed by several fuels  which can be burned in the Clinker Kiln.
- One acid fraction (acid acetic) for internal reuse it in the ethyl acetate production process</t>
  </si>
  <si>
    <t xml:space="preserve">First approach : recover raw pure metal for new process or direct selling. 
Second approach : recover Zinc residues to mix with other product and  create alloy (brass, maillechort and Zamack).  </t>
  </si>
  <si>
    <t>1 129 950 - 2 043 210 t/y (ave: 1'586'580)</t>
  </si>
  <si>
    <t>6 183 - 19 236 t/y (ave: 12'710 t/y)</t>
  </si>
  <si>
    <t>70 - 8156 t/y (ave: 4113 t/y) assume 100% Zn</t>
  </si>
  <si>
    <t xml:space="preserve"> 61 600 - 70 400 t/y (ave: 66'000 t/y)</t>
  </si>
  <si>
    <t>2 976 000 - 4 216 000 t/y (ave: 3'596'000)</t>
  </si>
  <si>
    <t>Lack of data</t>
  </si>
  <si>
    <t>16 600 - 1 985 520 t/year (ave: 1'001'060 t/y)</t>
  </si>
  <si>
    <t>Simapro: to multiply by Zn concentration</t>
  </si>
  <si>
    <t>266 802 - 704 760 t/y (ave: 485'781 t/y), LHV benzene: 41.8 MJ/kg</t>
  </si>
  <si>
    <t>ELEMENT : C6H6
COKE_OVEN_GAS: 360 - 518 Nm3/T
WATER: 9 - 267 MJ/T
DUST: 15,7 - 298 g/T
SO2: 80 - 900 g/T
NO2: 336 - 1783 g/T
NH3: 0,5 - 24,7 g/T
H2SO4:  -  g/T
HCN: 0,05 - 1,87 g/T
H2S: 12 - 100 g/T
CO_CARBON_MONOXYDE: 200 - 4460 g/T
CO2: 160 - 860 g/T
CH4: 1 - 80 g/T
TOC: 12 - 24 g/T
BENZENE: 0,1 - 45 g/T (22 g/t)
PAH: 115 - 1091 mg/T
PCDD/F: 0 - 0,1 ngI-TEQ/T
BENZENE: 5,3 - 14 Kg/T
OIL: 9,1 - 14 Kg/T</t>
  </si>
  <si>
    <t>50 000 - 70 000 t/y (ave: 60'000 t/y)</t>
  </si>
  <si>
    <t>19 - 21 t/y (ave: 20 t/y)</t>
  </si>
  <si>
    <t>Sludge: incinerated
Cr: landfilled</t>
  </si>
  <si>
    <t>209 576 - 2 644 356 t/y (ave: 1'426'966 t/y)</t>
  </si>
  <si>
    <t>Al2O3: 2- 13 Vol% (ave: 7.5%)
CaO: 42- 46 Vol%
Fe: 0- 17 Vol%
MgO: 6- 7 Vol%
MnO: 0- 5 Vol%
P2O5: 0- 2 Vol%
S: 0- 1 Vol%
SiO2: 11- 34 Vol%</t>
  </si>
  <si>
    <t>WWTP (not modelled)</t>
  </si>
  <si>
    <t>WWT not modelled, lack of data.</t>
  </si>
  <si>
    <t>COD: 500 - 2000 mg/l
OIL: 50 - 100 mg/l (75 mg/l)
HCN: 10 - 300 mg/l
PHENOL: 5 - 30 mg/l
NH3: 15 - 50 mg/l
H2S: 10 - 200 mg/l</t>
  </si>
  <si>
    <t>91 and 92 modelled together as generic waste heat recovery</t>
  </si>
  <si>
    <t>93 and 94 modelled together as generic waste heat recovery from steam</t>
  </si>
  <si>
    <t>95 and 96 modelled together as solid waste recovery to produce a fuel</t>
  </si>
  <si>
    <t>001 Synergy 4: Coke recovered for sinter plant OK</t>
  </si>
  <si>
    <t>002 Synergy 6: Basic oxygen furnace slag recovered for cement raw materials OK</t>
  </si>
  <si>
    <t>003 Synergy 8: Gypsum from coal combustion recovered for cement mill OK</t>
  </si>
  <si>
    <t>004 Synergy 11: Lime from sugar production recovered for calcium carbide production OK</t>
  </si>
  <si>
    <t>005 Synergy 12: Salt from salt slag recovered for sodium chlorate production OK</t>
  </si>
  <si>
    <t>006 Synergy 13: Salt from sheep slaughterhouses recovered for sodium chlorate production OK</t>
  </si>
  <si>
    <t>007 Synergy 14: Coke recovered for blast furnace steel production OK</t>
  </si>
  <si>
    <t>008 Synergy 15: Lime from kraft pulping process recovered for electric arc furnace OK</t>
  </si>
  <si>
    <t>009 Synergy 22: Refractory products from steel used in glass industry OK</t>
  </si>
  <si>
    <t>010 Synergy 23: Slag from coal combustion used in mineral wool OK</t>
  </si>
  <si>
    <t>011 Synergy 24: Slag from steel blast furnace used in mineral wool OK</t>
  </si>
  <si>
    <t>012 Synergy 25: Lime from sugar production recovered for calcium supply OK</t>
  </si>
  <si>
    <t>023 Synergy 47: COG from coke oven plants recoverd for combustion plant - OK</t>
  </si>
  <si>
    <t>013 Synergy 26: Lime from pulp production recovered for calcium supply in cement industry OK</t>
  </si>
  <si>
    <t>014 Synergy 27: Sludge from steel production recovered for calcium and aluminium in cement  OK</t>
  </si>
  <si>
    <t>015 Synergy 28: Sand from Starch Industry recovered as raw material in cement OK</t>
  </si>
  <si>
    <t>016 Synergy 29: Red Mud recovered for iron content in cement OK</t>
  </si>
  <si>
    <t>017 Synergy 30: Blast Furnace Slag recovered for Ca Si and Al in cement OK</t>
  </si>
  <si>
    <t>019 Synergy 35: Electric Arc Furnace Slag recovered for Ca Si and Al in cement OK</t>
  </si>
  <si>
    <t>020 Synergy 36: Lime from Pulp industries recovered for CaOH in flues gas treatement of incineration OK</t>
  </si>
  <si>
    <t>021 Synergy 40: Slag from steel prodcution used for non ferrous metal in secondary coppper smelting OK</t>
  </si>
  <si>
    <t>022 Synergy 44: Sand from food and milk industries recovered for aluminium casthouse OK</t>
  </si>
  <si>
    <t>026 Synergy 50: Limestone fines from solvay process recovered for cement OK</t>
  </si>
  <si>
    <t>027 Synergy 60: Recover nutrients (N, P, K, Mg, Ca) from WWT for fertiliser use - CAN NOT BE MODELED LACK OF DATA</t>
  </si>
  <si>
    <t>028 Synergy 64: Recover silica from sodium silicate production for unknown sector CAN NOT BE MODELED LACK OF DATA</t>
  </si>
  <si>
    <t>029 Synergy 65: Recover sulphur from oil and gas for fertiliser use CAN NOT BE MODELED LACK OF DATA</t>
  </si>
  <si>
    <t>030 Synergy 66: Blast furnace slag recovered from steel sector for ceramic sector OK</t>
  </si>
  <si>
    <t>031 Synergy 67: Cooling water from oil and gas recovered for water use CAN NOT BE MODELED LACK OF DATA</t>
  </si>
  <si>
    <t>034 Synergy 78: Tar recovered from hydrogen peroxide production for energy OK</t>
  </si>
  <si>
    <t>035 Synergy 79: Tar recovered from ethylbenzene/styrene production for energy OK</t>
  </si>
  <si>
    <t>036 Synergy 80: Solvents recovered from ethylbenzene/styrene production for energy OK</t>
  </si>
  <si>
    <t>042 Synergy 89: Cooling water recovered for water use CAN NOT BE MODELED LACK OF DATA</t>
  </si>
  <si>
    <t>043 Synergy 90: Cooling water recovered for water use  NOT MODELED _ LACK DATA AND CONTEXT INFORMATION</t>
  </si>
  <si>
    <t>044 Synergy 97: Oil recovered from waste treatment  OK</t>
  </si>
  <si>
    <t>045 Synergy 98: Bitumen recovered from waste treatment OK</t>
  </si>
  <si>
    <t>046 Synergy 99: Methanol recovered from waste treatment OK</t>
  </si>
  <si>
    <t>047 Synergy 100: Waste gas oil recovered from waste treatment OK</t>
  </si>
  <si>
    <t>Synergy #</t>
  </si>
  <si>
    <t>Simapro # (Quantis)</t>
  </si>
  <si>
    <t>400 t of coke residues per site per year
15 600 t of coke residues : average of all steam crackers in Europe</t>
  </si>
  <si>
    <t>620 000 - 1 705 000 t of salt</t>
  </si>
  <si>
    <r>
      <t>ANNUAL VOLUME COMMENT</t>
    </r>
    <r>
      <rPr>
        <sz val="14"/>
        <color theme="1"/>
        <rFont val="Calibri"/>
        <family val="2"/>
        <scheme val="minor"/>
      </rPr>
      <t xml:space="preserve"> (e.g. volume of by-product, element of interest?)</t>
    </r>
    <r>
      <rPr>
        <b/>
        <sz val="14"/>
        <color theme="1"/>
        <rFont val="Calibri"/>
        <family val="2"/>
        <scheme val="minor"/>
      </rPr>
      <t xml:space="preserve"> </t>
    </r>
  </si>
  <si>
    <t xml:space="preserve">RECEIVER SECTOR DEMAND </t>
  </si>
  <si>
    <t>10 478 800 - 20 241 200 t/y (ave: 15'360'000 t/y)</t>
  </si>
  <si>
    <t>10 478 800 - 20 241 200 t of BOF slag /y (average 15 360 000 t/y) --&gt; European volume
Iron volume 1 781 396 - 3 441 004 t/y
Others elements of interest volume to calculate</t>
  </si>
  <si>
    <t>UNKNOW
http://scholar.google.fr/scholar_url?url=http://prd-wret.s3.amazonaws.com/assets/palladium/production/mineral-pubs/coal/coalmyb01.pdf&amp;hl=fr&amp;sa=X&amp;scisig=AAGBfm0aF1Y0wUUZPStN6dEPQEIve3r6Eg&amp;nossl=1&amp;oi=scholarr</t>
  </si>
  <si>
    <t>Yes</t>
  </si>
  <si>
    <t>EAF slag volume
Composition in the dedicated column</t>
  </si>
  <si>
    <t>048 Synergy 7: Recover gypsum from sulphate process for cement grinding OK</t>
  </si>
  <si>
    <t>051 I-Synergy 3: Primary liquid fuel from ethylacetate prodution used in cement_OK</t>
  </si>
  <si>
    <t>052 I-Snyergy 5: Zinc Emissions used for Waelz kiln operation_OK</t>
  </si>
  <si>
    <t>053 I-Synergy 9: Sulphuric acid from non ferrous metal industries used for inorganic chemical (sulphate process) _OK</t>
  </si>
  <si>
    <t>054 I-Synergy 10: Sulphuric acid from non ferrous metal industries used for sulphate process OK</t>
  </si>
  <si>
    <t>055: I-Snyergy 16: Sulphuric acid from coke oven plants for pulp and paper production (pulp production)_OK</t>
  </si>
  <si>
    <t>056 I-Synergy 17: Hydrogen recovered for isomerisation in oil and gas industry OK</t>
  </si>
  <si>
    <t>059 I-Synergy 20: Nikel from steel sector reovered for Cobalt production OK</t>
  </si>
  <si>
    <t>060 I-Synergy 21: Sulphur from coke oven plants recovered for sulphite pulping process - OK</t>
  </si>
  <si>
    <t>061 I-Synergy 31: Recover aluminium oxides from aluminium production for cement production - OK</t>
  </si>
  <si>
    <t>062 I-Synergy 32: Recover aluminium oxides from aluminium production for glass wool - OK</t>
  </si>
  <si>
    <t>064 I-Synergy 37: Zn Emissions from Electric Arc Furnace used in Lead and Tin production OK</t>
  </si>
  <si>
    <t>065 I-Synergy 38: Recover Benzene from Coke oven plants for Ethylbenzene manufacturing OK</t>
  </si>
  <si>
    <t>066 I-Synergy 39: Recover sulpuric acid from lead and tin production for Silica Gel manufcaturing OK</t>
  </si>
  <si>
    <t>068 I-Synergy 42:  Sludge form Mineral Oil and Gas in Copper industr (secondary smelting) CAN NOT BE MODELED LACK OF DATA</t>
  </si>
  <si>
    <t>069 I-Synergy 43: Sludge from Sinter plant used in copper (secondary smelting route) CAN NOT BE MODELED LACK OF DATA</t>
  </si>
  <si>
    <t>070 I-Syergy 45: Sludge from Sodium chloarte prodcution used for lead and tin production CAN NOT BE MODELED LACK OF DATA</t>
  </si>
  <si>
    <t>071 I-Synergy 46: Sludge from sinter plants used for lead and tin production CAN NOT BE MODELED LACK OF DATA</t>
  </si>
  <si>
    <t>072 I-Synergy 51: Absorption residues form MSWI plants used in sinter plants manufacturing CAN NOT BE MODELLED LACK OF DATA</t>
  </si>
  <si>
    <t>073: I-Synergy 52. Electrolytic bleed acid from copper used in waste treatment industries OK</t>
  </si>
  <si>
    <t>074: I-Synergy 53: WAter after flocatulation used for non ferrous industires CAN NOT BE MODELLED LACK OF DATA</t>
  </si>
  <si>
    <t>075: I-Synerg 54: NH3 from vaccuum distialllation water used a fertiliser CAN NOT BE MODELLED LACK OF DATA</t>
  </si>
  <si>
    <t>077: I-Synergy 56: Zn from water floculation used in lead and tin CAN NOT BE MODELLED LACK OF DATA</t>
  </si>
  <si>
    <t>078 :I-SYnergy 57: Acid from filter dust used in phenol manufacturing_CAN NOT BE MODELLED LACK OF DATA</t>
  </si>
  <si>
    <t>079: I-SYnergy 58: Acid from Electorlyte bleed used in phenol manufacturing CAN NOT BE MODELLED LACK OF DATA</t>
  </si>
  <si>
    <t>081: I-Synergy 61: Waste plastic IMP use in blast media production CAN NOT BE MODELED  LACK OF DATA</t>
  </si>
  <si>
    <t>082: I-Synergy 62: Yeasst sludge nutrient used for livestock feeding CAN NOT BE MODELED  LACK OF DATA</t>
  </si>
  <si>
    <t>083: I-Synergy 63: Extracellulcar enzimes from poultry dejections used fro tanning cycle CAN NOT BE MODELED  LACK OF DATA</t>
  </si>
  <si>
    <t>084: I-Synergy 70: HCL reused for gasification cycle CAN NOT BE MODELED  LACK OF DATA</t>
  </si>
  <si>
    <t>085: I-Synergy 71: Pd reused for Catalytic cracking process CAN NOT BE MODELED  LACK OF DATA</t>
  </si>
  <si>
    <t>086: I-Synergy 72: Cr from green liquor sludge used in electric arc furnace</t>
  </si>
  <si>
    <t>087: I-Synergy 73: Pt from spend catalyst oxide used for catalytic cracking - CAN NOT BE MODELLED LACK OF DATA</t>
  </si>
  <si>
    <t>088: I-Synergy 73: Rh form copper industry reused fro catlytic crakcing - CAN NOT BE MODELED  LACK OF DATA</t>
  </si>
  <si>
    <t>089_ I-Synergy 75: Sb emissions from Lime indstury used for secondary copper smelting CAN NOT BE MODELLED LACK OF DATA</t>
  </si>
  <si>
    <t>091: I-Synergy 77: Al oxide from steel slag use in cermic industry - OK</t>
  </si>
  <si>
    <t>092: I-Synergy 81: Oil from distillation waste water used in blast furnace manufacturing OK</t>
  </si>
  <si>
    <t>093: I-Synergy 85: Oil from visbreaking waste waster use in Zn and Cd industry CAN NOT BE MODELLED TO SMALL</t>
  </si>
  <si>
    <t>094: I-Synergy 88: Oil from distillation waste water used for furnace black process CAN NOT BE MODELLED LACK OF DATA</t>
  </si>
  <si>
    <t>095-096: I-Synergy 91-92: Generic waste heat recovery synergy OK</t>
  </si>
  <si>
    <t>096 I-Synergy 92: EMPTY PROCESS FOR FORMAT</t>
  </si>
  <si>
    <t>097-098:  I-Synergy 93-94: Generic waste heat recovery from steam OK</t>
  </si>
  <si>
    <t>098 I-Synergy 94: EMPTY PROCESS FOR FORMAT</t>
  </si>
  <si>
    <t>099-100: I-Synergy 95-96: Generic Residue Derived Fuel (RDF) OK</t>
  </si>
  <si>
    <t>100 I-Synergy 96: EMPTY PROCESS FOR FORMAT</t>
  </si>
  <si>
    <t>050: I-Synergy 2: Coke oven gas recovered for isomerisation OK</t>
  </si>
  <si>
    <t>VARIOUS (prepared fuel)</t>
  </si>
  <si>
    <t>055</t>
  </si>
  <si>
    <t>850'610 t H2/y</t>
  </si>
  <si>
    <t>15'251'000 t methanol/y
206'990'000 MJ nat gas avoided/y</t>
  </si>
  <si>
    <t>SP EXPORT OF DIRECT AND INDIRECT SYNERGIES</t>
  </si>
  <si>
    <t>049 I-Synergy 1: Recover hydrogen in coke oven gas used for hydrocracking in methanol synthesis OK</t>
  </si>
  <si>
    <t>t CO2-eq</t>
  </si>
  <si>
    <t>Transport, passenger car, medium size, petrol, EURO 4 {RER}| transport, passenger car, medium size, petrol, EURO 4 | Cut-off, U (QLL18.1.0)</t>
  </si>
  <si>
    <t>kg CO2-eq/km</t>
  </si>
  <si>
    <t>t CO2-eq/y/car</t>
  </si>
  <si>
    <t>km/y/car</t>
  </si>
  <si>
    <t>million cars/y</t>
  </si>
  <si>
    <t>More detailed comment</t>
  </si>
  <si>
    <t xml:space="preserve">Concentration of the elements of interet in Waste water is missing and annual volume and receiver sector demand is missing </t>
  </si>
  <si>
    <t>Production volume not known</t>
  </si>
  <si>
    <t>Non ferrous metal conentration not known</t>
  </si>
  <si>
    <t>Data not precise enough</t>
  </si>
  <si>
    <t>Concentration in Waste Water not known</t>
  </si>
  <si>
    <t>Volumes not known</t>
  </si>
  <si>
    <t>Concetration in filter dust not known, volume data has huge uncertainty</t>
  </si>
  <si>
    <t>Concentration not known</t>
  </si>
  <si>
    <t>Volume unknown</t>
  </si>
  <si>
    <t>Concetration not known</t>
  </si>
  <si>
    <t>Current practice? (Y/N)?</t>
  </si>
  <si>
    <t>271'619 - 349'225 t H2/y (ave:310'422)</t>
  </si>
  <si>
    <t>Lack of data, non ferrous metals composition</t>
  </si>
  <si>
    <t>Current practice = Y</t>
  </si>
  <si>
    <t>Current practice = N</t>
  </si>
  <si>
    <t>TOTAL</t>
  </si>
  <si>
    <t>FLOW MODELLED (t/y)</t>
  </si>
  <si>
    <t>Do not know no. of sites, cannot scale up production volume.</t>
  </si>
  <si>
    <t>4 484 403 - 5 813 115 t/y</t>
  </si>
  <si>
    <t>Freshwater withdrawal</t>
  </si>
  <si>
    <t>024 Synergy 48: Blast furnace gas recovered for energy OK</t>
  </si>
  <si>
    <t>SiO2 35%
Al2O3 16.5%
CaO 25%
MgO 2.9%</t>
  </si>
  <si>
    <t>Fe2O3 11.16%</t>
  </si>
  <si>
    <t>Fe2O3 9.74%</t>
  </si>
  <si>
    <t>SiO2 13.24%
Al2O3 20.13%
CaO 36.83%</t>
  </si>
  <si>
    <t>057- I-Synergy 18: Hydrogen recoevered for hydrocracking proceess OK</t>
  </si>
  <si>
    <t>058: I-Synergy: 19 Hydrogen from steamcracking recovered for hydrodesulphurisation_OK</t>
  </si>
  <si>
    <t>063 I-Synergy 33: Bottom ash from waste incineration for use in steel peletisation plants - OK</t>
  </si>
  <si>
    <t>067 I-Synergy 41: Use Ashes from waste incineration in copper industry OK</t>
  </si>
  <si>
    <t>076: I-Synergy 55: NH3 from gas separation waste water used as fertiliser_CAN NOT BE MODLLED</t>
  </si>
  <si>
    <t>080: I-Synergy 59: Slag from waste incineration used in secondary copper smelting OK</t>
  </si>
  <si>
    <t>090: I-Synergy 76:  Al2O3 from steel slag used for Aluminium production - OK</t>
  </si>
  <si>
    <t xml:space="preserve">Zn: 200- 24000 mg/Kg
DUST: 4- 300 g/T
Hg: 2- 200 mg/Kg
Pb: 75- 2850 mg/Kg
Cr: 12- 2800 mg/Kg
Ni: 3- 2000 mg/Kg
Cd: 1- 148 mg/Kg
Cu: 11- 510 mg/Kg
HF: 0,04- 15000 mg/Kg
HCL: 800- 35250 mg/Kg
SO2: 5- 210 g/T
NO2: 13- 460 g/T
CO_CARBON_MONOXYDE: 50- 4500 g/T
CO2: 72- 180 Kg/T
TOC: 35- 260 mg/T
BENZENE: 30- 4400 mg/T
CHLOROBENZENES: 0,2- 12 mg/T
PAH: 9- 970 mg/T
PCB: 0,01- 5 mg/T
PCDD/F: 0,0004- 0,006 ngI-TEQ/T
</t>
  </si>
  <si>
    <t>SiO2 56%
Al2O3 24%
Cao 3.6%</t>
  </si>
  <si>
    <t>32 616 000 t/y</t>
  </si>
  <si>
    <t>SiO2 56% (assume same as synergy 68)
Al2O3 24%
Cao 3.6%</t>
  </si>
  <si>
    <t>018 Synergy 34: Bottom ash recovered from combustion plant for iron content OK</t>
  </si>
  <si>
    <t>025 Synergy 49: Basic oxygen furnace gas recovered for energy - OK</t>
  </si>
  <si>
    <t>032 Synergy 68: Fly ash recovered for minerals in glass manufacturing - OK</t>
  </si>
  <si>
    <t>033 Synergy 69: Fly ash recovered for minerals in bricks and tiles manufacturing - OK</t>
  </si>
  <si>
    <t>5 350 400 - 6 186 400 t/y</t>
  </si>
  <si>
    <t>H2: 3.3%
CO_CARBON_MONOXYDE: 55 - 60 Vol%
CO2: 12 - 18 Vol%
N2: 22 - 33 Vol%
O: 0 - 0 Vol%</t>
  </si>
  <si>
    <t>16700000 T beet/yr, 230 kg/t beet</t>
  </si>
  <si>
    <t>Sludge volume: 581- 17 415 t/y</t>
  </si>
  <si>
    <t>3 906 899 t carcass/y</t>
  </si>
  <si>
    <t>5 350 400 - 6 186 400 t wood waste/y</t>
  </si>
  <si>
    <t>Do not know quantity / temperature / energy content of cooling water</t>
  </si>
  <si>
    <t>TOTAL (current practice)</t>
  </si>
  <si>
    <t>TOTAL (not current practice)</t>
  </si>
  <si>
    <t>037 Synergy 82: waste wood from pulp and paper recovered for gasification (IGCC) OK</t>
  </si>
  <si>
    <t>038 Synergy 83: Sludge from sugar production recovered for incineration OK</t>
  </si>
  <si>
    <t>039 Synergy 84: Sludge from vinyl chloride manufacturing recovered for incineration OK</t>
  </si>
  <si>
    <t>040 Synergy 86: Carcass recovered for burning in cement plant OK</t>
  </si>
  <si>
    <t>041 Synergy 87: waste wood from pulp and paper recovered for lime manufacturing OK</t>
  </si>
  <si>
    <t>7.2-12 t Pt/y</t>
  </si>
  <si>
    <t>Baseline</t>
  </si>
  <si>
    <t>91 and 92 modelled together as generic waste heat recovery (per GJ)</t>
  </si>
  <si>
    <t>93 and 94 modelled together as generic waste heat recovery from steam (per GJ)</t>
  </si>
  <si>
    <t>95 and 96 modelled together as solid waste recovery to produce a fuel (per ton fuel oil)</t>
  </si>
  <si>
    <t>Climate change</t>
  </si>
  <si>
    <t>Water withdrawal</t>
  </si>
  <si>
    <t>BENCHMARK CALCULATIONS</t>
  </si>
  <si>
    <t>DALY / cigarette smoked</t>
  </si>
  <si>
    <t>minutes of living life lost</t>
  </si>
  <si>
    <t>Lives saved</t>
  </si>
  <si>
    <t>cigarettes smoked</t>
  </si>
  <si>
    <t>Average life expectancy in Europe (Source: https://www.statista.com/statistics/274514/life-expectancy-in-europe/)</t>
  </si>
  <si>
    <t>PDF.m2.y / ha deforested and converted to concrete</t>
  </si>
  <si>
    <t>ha</t>
  </si>
  <si>
    <t>MJ prim / barrel of oil</t>
  </si>
  <si>
    <t>Barrels of oil</t>
  </si>
  <si>
    <t>MJ total</t>
  </si>
  <si>
    <t>PDF.m2.y total</t>
  </si>
  <si>
    <t>DALY total</t>
  </si>
  <si>
    <t>m3/Olympic size swimming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</si>
</sst>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
    <numFmt numFmtId="166" formatCode="#,##0.0"/>
  </numFmts>
  <fonts count="17">
    <font>
      <sz val="11"/>
      <color theme="1"/>
      <name val="Calibri"/>
      <family val="2"/>
      <scheme val="minor"/>
    </font>
    <font>
      <b/>
      <sz val="24"/>
      <color theme="1"/>
      <name val="Calibri"/>
      <family val="2"/>
      <scheme val="minor"/>
    </font>
    <font>
      <sz val="11"/>
      <name val="Calibri"/>
      <family val="2"/>
      <scheme val="minor"/>
    </font>
    <font>
      <b/>
      <sz val="12"/>
      <color theme="1"/>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font>
    <font>
      <sz val="11"/>
      <color rgb="FF000000"/>
      <name val="Calibri"/>
      <family val="2"/>
      <scheme val="minor"/>
    </font>
    <font>
      <b/>
      <sz val="14"/>
      <color theme="1"/>
      <name val="Calibri"/>
      <family val="2"/>
      <scheme val="minor"/>
    </font>
    <font>
      <sz val="11"/>
      <color theme="1" tint="0.499984740745262"/>
      <name val="Calibri (Body)_x0000_"/>
    </font>
    <font>
      <b/>
      <sz val="11"/>
      <color theme="1"/>
      <name val="Calibri"/>
      <family val="2"/>
      <scheme val="minor"/>
    </font>
    <font>
      <sz val="14"/>
      <color theme="1"/>
      <name val="Calibri"/>
      <family val="2"/>
      <scheme val="minor"/>
    </font>
    <font>
      <b/>
      <sz val="16"/>
      <color theme="1"/>
      <name val="Calibri"/>
      <family val="2"/>
      <scheme val="minor"/>
    </font>
    <font>
      <sz val="10"/>
      <color rgb="FF000000"/>
      <name val="Tahoma"/>
      <family val="2"/>
    </font>
    <font>
      <sz val="11"/>
      <color theme="0"/>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bgColor indexed="64"/>
      </patternFill>
    </fill>
    <fill>
      <patternFill patternType="solid">
        <fgColor theme="9"/>
        <bgColor indexed="64"/>
      </patternFill>
    </fill>
    <fill>
      <patternFill patternType="solid">
        <fgColor theme="9" tint="0.39997558519241921"/>
        <bgColor indexed="64"/>
      </patternFill>
    </fill>
    <fill>
      <patternFill patternType="solid">
        <fgColor theme="1" tint="0.499984740745262"/>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93">
    <xf numFmtId="0" fontId="0" fillId="0" borderId="0" xfId="0"/>
    <xf numFmtId="0" fontId="0" fillId="0" borderId="0" xfId="0"/>
    <xf numFmtId="0" fontId="3"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applyAlignment="1">
      <alignment vertical="center"/>
    </xf>
    <xf numFmtId="0" fontId="0" fillId="0" borderId="0" xfId="0" applyAlignment="1">
      <alignment vertical="center" wrapText="1"/>
    </xf>
    <xf numFmtId="0" fontId="0" fillId="0" borderId="0" xfId="0" applyFill="1" applyAlignment="1">
      <alignment horizontal="left" vertical="center" wrapText="1"/>
    </xf>
    <xf numFmtId="0" fontId="7" fillId="0" borderId="1" xfId="1" applyFont="1" applyFill="1" applyBorder="1" applyAlignment="1">
      <alignment horizontal="left" vertical="center" wrapText="1"/>
    </xf>
    <xf numFmtId="0" fontId="8" fillId="0" borderId="2" xfId="0" applyFont="1" applyBorder="1" applyAlignment="1">
      <alignment vertical="center" wrapText="1"/>
    </xf>
    <xf numFmtId="164" fontId="0" fillId="0" borderId="0" xfId="0" applyNumberFormat="1" applyFill="1" applyAlignment="1">
      <alignment vertical="center"/>
    </xf>
    <xf numFmtId="3" fontId="0" fillId="0" borderId="0" xfId="0" applyNumberFormat="1" applyFill="1" applyAlignment="1">
      <alignment vertical="center"/>
    </xf>
    <xf numFmtId="3" fontId="0" fillId="0" borderId="0" xfId="0" applyNumberFormat="1" applyAlignment="1">
      <alignment vertical="center"/>
    </xf>
    <xf numFmtId="0" fontId="2" fillId="0" borderId="0" xfId="0" applyFont="1" applyFill="1" applyAlignment="1">
      <alignment vertical="center" wrapText="1"/>
    </xf>
    <xf numFmtId="3" fontId="0" fillId="0" borderId="0" xfId="0" applyNumberFormat="1" applyFill="1" applyAlignment="1">
      <alignment vertical="center" wrapText="1"/>
    </xf>
    <xf numFmtId="0" fontId="7" fillId="0" borderId="3" xfId="1" applyFont="1" applyFill="1" applyBorder="1" applyAlignment="1">
      <alignment vertical="center" wrapText="1"/>
    </xf>
    <xf numFmtId="0" fontId="7" fillId="0" borderId="0" xfId="1" applyFont="1" applyFill="1" applyBorder="1" applyAlignment="1">
      <alignment vertical="center" wrapText="1"/>
    </xf>
    <xf numFmtId="0" fontId="1" fillId="0" borderId="4" xfId="0" applyFont="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4" xfId="0" applyFill="1" applyBorder="1" applyAlignment="1">
      <alignment horizontal="left" vertical="center" wrapText="1"/>
    </xf>
    <xf numFmtId="0" fontId="0" fillId="0" borderId="4" xfId="0" applyFill="1" applyBorder="1" applyAlignment="1">
      <alignment vertical="center" wrapText="1"/>
    </xf>
    <xf numFmtId="0" fontId="0" fillId="0" borderId="4" xfId="0" applyFill="1" applyBorder="1" applyAlignment="1">
      <alignment vertical="center"/>
    </xf>
    <xf numFmtId="3" fontId="0" fillId="0" borderId="4" xfId="0" applyNumberFormat="1" applyFill="1" applyBorder="1" applyAlignment="1">
      <alignment vertical="center" wrapText="1"/>
    </xf>
    <xf numFmtId="3" fontId="0" fillId="0" borderId="4" xfId="0" applyNumberFormat="1" applyFill="1" applyBorder="1" applyAlignment="1">
      <alignment vertical="center"/>
    </xf>
    <xf numFmtId="4" fontId="0" fillId="0" borderId="4" xfId="0" applyNumberFormat="1" applyFill="1" applyBorder="1" applyAlignment="1">
      <alignment vertical="center" wrapText="1"/>
    </xf>
    <xf numFmtId="0" fontId="7" fillId="0" borderId="4" xfId="1" applyFont="1" applyFill="1" applyBorder="1" applyAlignment="1">
      <alignment vertical="center" wrapText="1"/>
    </xf>
    <xf numFmtId="3" fontId="0" fillId="0" borderId="4" xfId="0" applyNumberFormat="1" applyBorder="1" applyAlignment="1">
      <alignment vertical="center"/>
    </xf>
    <xf numFmtId="0" fontId="7" fillId="0" borderId="4" xfId="1" applyFont="1" applyFill="1" applyBorder="1" applyAlignment="1">
      <alignment horizontal="left" vertical="center" wrapText="1"/>
    </xf>
    <xf numFmtId="0" fontId="0" fillId="2" borderId="4" xfId="0" applyFill="1" applyBorder="1" applyAlignment="1">
      <alignment horizontal="left" vertical="center" wrapText="1"/>
    </xf>
    <xf numFmtId="0" fontId="9" fillId="0" borderId="4" xfId="0" applyFont="1" applyFill="1" applyBorder="1" applyAlignment="1">
      <alignment horizontal="center" vertical="center" textRotation="45" wrapText="1"/>
    </xf>
    <xf numFmtId="0" fontId="9" fillId="0" borderId="0" xfId="0" applyFont="1" applyFill="1" applyAlignment="1">
      <alignment horizontal="center" vertical="center" textRotation="45" wrapText="1"/>
    </xf>
    <xf numFmtId="0" fontId="0" fillId="0" borderId="0" xfId="0" applyFill="1"/>
    <xf numFmtId="0" fontId="0" fillId="4" borderId="4" xfId="0" applyFill="1" applyBorder="1" applyAlignment="1">
      <alignment horizontal="left" vertical="center" wrapText="1"/>
    </xf>
    <xf numFmtId="0" fontId="0" fillId="4" borderId="4" xfId="0" applyFill="1" applyBorder="1" applyAlignment="1">
      <alignment vertical="center" wrapText="1"/>
    </xf>
    <xf numFmtId="0" fontId="11" fillId="0" borderId="0" xfId="0" applyFont="1"/>
    <xf numFmtId="0" fontId="0" fillId="4" borderId="4" xfId="0" applyFill="1" applyBorder="1" applyAlignment="1">
      <alignment vertical="center"/>
    </xf>
    <xf numFmtId="0" fontId="0" fillId="0" borderId="0" xfId="0" applyAlignment="1">
      <alignment horizontal="center" vertical="center"/>
    </xf>
    <xf numFmtId="11" fontId="0" fillId="0" borderId="0" xfId="0" applyNumberFormat="1"/>
    <xf numFmtId="165" fontId="0" fillId="5" borderId="0" xfId="0" applyNumberFormat="1" applyFill="1"/>
    <xf numFmtId="3" fontId="0" fillId="0" borderId="4" xfId="0" applyNumberFormat="1" applyBorder="1" applyAlignment="1">
      <alignment horizontal="center" vertical="center"/>
    </xf>
    <xf numFmtId="0" fontId="1" fillId="0" borderId="4" xfId="0" quotePrefix="1" applyFont="1" applyBorder="1" applyAlignment="1">
      <alignment horizontal="center" vertical="center"/>
    </xf>
    <xf numFmtId="0" fontId="9" fillId="0" borderId="4" xfId="0" applyFont="1" applyBorder="1" applyAlignment="1">
      <alignment horizontal="center" vertical="center" textRotation="45" wrapText="1"/>
    </xf>
    <xf numFmtId="0" fontId="1" fillId="0" borderId="4" xfId="0" applyFont="1" applyFill="1" applyBorder="1" applyAlignment="1">
      <alignment horizontal="center" vertical="center"/>
    </xf>
    <xf numFmtId="0" fontId="0" fillId="0" borderId="4" xfId="0" applyFill="1" applyBorder="1" applyAlignment="1">
      <alignment horizontal="center" vertical="center" wrapText="1"/>
    </xf>
    <xf numFmtId="3" fontId="0" fillId="0" borderId="4" xfId="0" applyNumberFormat="1" applyBorder="1" applyAlignment="1">
      <alignment horizontal="left" vertical="center" wrapText="1"/>
    </xf>
    <xf numFmtId="0" fontId="1" fillId="0" borderId="4" xfId="0" quotePrefix="1" applyFont="1" applyFill="1" applyBorder="1" applyAlignment="1">
      <alignment horizontal="center" vertical="center"/>
    </xf>
    <xf numFmtId="0" fontId="9" fillId="0" borderId="5" xfId="0" applyFont="1" applyFill="1" applyBorder="1" applyAlignment="1">
      <alignment horizontal="center" vertical="center" textRotation="45" wrapText="1"/>
    </xf>
    <xf numFmtId="0" fontId="0" fillId="5" borderId="0" xfId="0" applyFill="1"/>
    <xf numFmtId="0" fontId="13" fillId="0" borderId="0" xfId="0" applyFont="1"/>
    <xf numFmtId="0" fontId="0" fillId="0" borderId="4" xfId="0" quotePrefix="1" applyFill="1" applyBorder="1" applyAlignment="1">
      <alignment vertical="center" wrapText="1"/>
    </xf>
    <xf numFmtId="0" fontId="9" fillId="0" borderId="5" xfId="0" applyFont="1" applyFill="1" applyBorder="1" applyAlignment="1">
      <alignment vertical="center" textRotation="45" wrapText="1"/>
    </xf>
    <xf numFmtId="0" fontId="0" fillId="0" borderId="0" xfId="0"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Fill="1" applyAlignment="1">
      <alignment vertical="center"/>
    </xf>
    <xf numFmtId="0" fontId="0" fillId="0" borderId="4" xfId="0" applyBorder="1" applyAlignment="1">
      <alignment horizontal="center" vertical="center"/>
    </xf>
    <xf numFmtId="0" fontId="0" fillId="0" borderId="4" xfId="0" applyFill="1" applyBorder="1" applyAlignment="1">
      <alignment horizontal="center" vertical="center"/>
    </xf>
    <xf numFmtId="0" fontId="11" fillId="0" borderId="0" xfId="0" applyFont="1" applyAlignment="1">
      <alignment horizontal="center" vertical="center"/>
    </xf>
    <xf numFmtId="0" fontId="0" fillId="3" borderId="4" xfId="0" applyFill="1" applyBorder="1" applyAlignment="1">
      <alignment horizontal="center" vertical="center" wrapText="1"/>
    </xf>
    <xf numFmtId="3" fontId="0" fillId="0" borderId="0" xfId="0" applyNumberFormat="1"/>
    <xf numFmtId="0" fontId="0" fillId="6" borderId="0" xfId="0" applyFill="1"/>
    <xf numFmtId="165" fontId="0" fillId="6" borderId="0" xfId="0" applyNumberFormat="1" applyFill="1"/>
    <xf numFmtId="49" fontId="9" fillId="0" borderId="5" xfId="0" applyNumberFormat="1" applyFont="1" applyFill="1" applyBorder="1" applyAlignment="1">
      <alignment horizontal="center" vertical="center" textRotation="45" wrapText="1"/>
    </xf>
    <xf numFmtId="49" fontId="0" fillId="0" borderId="4" xfId="0" applyNumberFormat="1" applyBorder="1" applyAlignment="1">
      <alignment vertical="center" wrapText="1"/>
    </xf>
    <xf numFmtId="49" fontId="0" fillId="0" borderId="0" xfId="0" applyNumberFormat="1" applyAlignment="1">
      <alignment vertical="center" wrapText="1"/>
    </xf>
    <xf numFmtId="3" fontId="0" fillId="0" borderId="4" xfId="0" applyNumberFormat="1" applyFill="1" applyBorder="1" applyAlignment="1">
      <alignment horizontal="left" vertical="center" wrapText="1"/>
    </xf>
    <xf numFmtId="3" fontId="0" fillId="0" borderId="4" xfId="0" applyNumberFormat="1" applyFill="1" applyBorder="1" applyAlignment="1">
      <alignment horizontal="left" vertical="center"/>
    </xf>
    <xf numFmtId="3" fontId="0" fillId="0" borderId="0" xfId="0" applyNumberFormat="1" applyFill="1" applyAlignment="1">
      <alignment horizontal="left" vertical="center"/>
    </xf>
    <xf numFmtId="3" fontId="11" fillId="0" borderId="0" xfId="0" applyNumberFormat="1" applyFont="1" applyFill="1" applyAlignment="1">
      <alignment horizontal="left" vertical="center"/>
    </xf>
    <xf numFmtId="3" fontId="2" fillId="0" borderId="4" xfId="0" applyNumberFormat="1" applyFont="1" applyFill="1" applyBorder="1" applyAlignment="1">
      <alignment horizontal="left" vertical="center" wrapText="1"/>
    </xf>
    <xf numFmtId="3" fontId="9" fillId="0" borderId="4" xfId="0" applyNumberFormat="1" applyFont="1" applyFill="1" applyBorder="1" applyAlignment="1">
      <alignment horizontal="center" vertical="center" textRotation="45" wrapText="1"/>
    </xf>
    <xf numFmtId="0" fontId="2" fillId="0" borderId="0" xfId="0" applyFont="1"/>
    <xf numFmtId="11" fontId="0" fillId="0" borderId="0" xfId="0" applyNumberFormat="1" applyAlignment="1">
      <alignment vertical="center"/>
    </xf>
    <xf numFmtId="49" fontId="0" fillId="0" borderId="0" xfId="0" applyNumberFormat="1" applyAlignment="1">
      <alignment horizontal="right" vertical="center" wrapText="1"/>
    </xf>
    <xf numFmtId="11" fontId="2" fillId="0" borderId="0" xfId="0" applyNumberFormat="1" applyFont="1"/>
    <xf numFmtId="0" fontId="9" fillId="7" borderId="4" xfId="0" applyFont="1" applyFill="1" applyBorder="1" applyAlignment="1">
      <alignment horizontal="center" vertical="center" textRotation="45" wrapText="1"/>
    </xf>
    <xf numFmtId="0" fontId="9" fillId="7" borderId="0" xfId="0" applyFont="1" applyFill="1" applyAlignment="1">
      <alignment horizontal="center" vertical="center" textRotation="45" wrapText="1"/>
    </xf>
    <xf numFmtId="0" fontId="9" fillId="7" borderId="5" xfId="0" applyFont="1" applyFill="1" applyBorder="1" applyAlignment="1">
      <alignment vertical="center" textRotation="45" wrapText="1"/>
    </xf>
    <xf numFmtId="11" fontId="0" fillId="0" borderId="4" xfId="0" applyNumberFormat="1" applyBorder="1" applyAlignment="1">
      <alignment horizontal="center" vertical="center"/>
    </xf>
    <xf numFmtId="166" fontId="0" fillId="0" borderId="4" xfId="0" applyNumberFormat="1" applyBorder="1" applyAlignment="1">
      <alignment horizontal="center" vertical="center"/>
    </xf>
    <xf numFmtId="0" fontId="15" fillId="8" borderId="0" xfId="0" applyFont="1" applyFill="1"/>
    <xf numFmtId="0" fontId="2" fillId="0" borderId="0" xfId="0" applyFont="1" applyFill="1"/>
    <xf numFmtId="11" fontId="2" fillId="0" borderId="0" xfId="0" applyNumberFormat="1" applyFont="1" applyFill="1"/>
    <xf numFmtId="0" fontId="16" fillId="0" borderId="0" xfId="0" applyFont="1" applyFill="1"/>
    <xf numFmtId="1" fontId="2" fillId="0" borderId="0" xfId="0" applyNumberFormat="1" applyFont="1"/>
    <xf numFmtId="0" fontId="16" fillId="0" borderId="0" xfId="0" applyFont="1"/>
    <xf numFmtId="3" fontId="2" fillId="0" borderId="0" xfId="0" applyNumberFormat="1" applyFont="1"/>
    <xf numFmtId="11" fontId="16" fillId="0" borderId="0" xfId="0" applyNumberFormat="1" applyFont="1"/>
  </cellXfs>
  <cellStyles count="2">
    <cellStyle name="Normal" xfId="0" builtinId="0"/>
    <cellStyle name="Normal_Feuil1" xfId="1" xr:uid="{0B348E80-EB35-4659-B128-33E0D123B5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1"/>
  <sheetViews>
    <sheetView topLeftCell="E1" zoomScale="60" zoomScaleNormal="60" workbookViewId="0">
      <selection activeCell="H7" sqref="H7"/>
    </sheetView>
  </sheetViews>
  <sheetFormatPr baseColWidth="10" defaultColWidth="8.6640625" defaultRowHeight="15"/>
  <cols>
    <col min="2" max="2" width="25.5" customWidth="1"/>
    <col min="3" max="3" width="21.6640625" customWidth="1"/>
    <col min="4" max="4" width="64.5" customWidth="1"/>
    <col min="5" max="5" width="77.83203125" customWidth="1"/>
    <col min="6" max="6" width="36.33203125" customWidth="1"/>
    <col min="7" max="7" width="22.5" customWidth="1"/>
    <col min="8" max="8" width="123.33203125" customWidth="1"/>
    <col min="9" max="9" width="30.83203125" customWidth="1"/>
    <col min="10" max="10" width="70.1640625" customWidth="1"/>
    <col min="11" max="11" width="21.33203125" customWidth="1"/>
    <col min="12" max="12" width="17" customWidth="1"/>
    <col min="13" max="13" width="17.5" customWidth="1"/>
    <col min="14" max="14" width="20.83203125" customWidth="1"/>
  </cols>
  <sheetData>
    <row r="1" spans="1:14" ht="51">
      <c r="A1" s="2" t="s">
        <v>0</v>
      </c>
      <c r="B1" s="2" t="s">
        <v>1</v>
      </c>
      <c r="C1" s="2" t="s">
        <v>2</v>
      </c>
      <c r="D1" s="2" t="s">
        <v>3</v>
      </c>
      <c r="E1" s="2" t="s">
        <v>4</v>
      </c>
      <c r="F1" s="2" t="s">
        <v>5</v>
      </c>
      <c r="G1" s="2" t="s">
        <v>6</v>
      </c>
      <c r="H1" s="2" t="s">
        <v>7</v>
      </c>
      <c r="I1" s="2" t="s">
        <v>769</v>
      </c>
      <c r="J1" s="2" t="s">
        <v>8</v>
      </c>
      <c r="K1" s="2" t="s">
        <v>9</v>
      </c>
      <c r="L1" s="2" t="s">
        <v>438</v>
      </c>
      <c r="M1" s="2" t="s">
        <v>10</v>
      </c>
      <c r="N1" s="2" t="s">
        <v>765</v>
      </c>
    </row>
    <row r="2" spans="1:14" ht="174" customHeight="1">
      <c r="A2" s="5">
        <v>1</v>
      </c>
      <c r="B2" s="3" t="s">
        <v>11</v>
      </c>
      <c r="C2" s="9" t="s">
        <v>12</v>
      </c>
      <c r="D2" s="6" t="s">
        <v>13</v>
      </c>
      <c r="E2" s="6" t="s">
        <v>14</v>
      </c>
      <c r="F2" s="4" t="s">
        <v>15</v>
      </c>
      <c r="G2" s="4" t="s">
        <v>16</v>
      </c>
      <c r="H2" s="6" t="s">
        <v>770</v>
      </c>
      <c r="I2" s="9" t="s">
        <v>17</v>
      </c>
      <c r="J2" s="4" t="s">
        <v>18</v>
      </c>
      <c r="K2" s="9" t="s">
        <v>19</v>
      </c>
      <c r="L2" s="4" t="s">
        <v>20</v>
      </c>
      <c r="M2" s="4" t="s">
        <v>21</v>
      </c>
      <c r="N2" s="9" t="s">
        <v>378</v>
      </c>
    </row>
    <row r="3" spans="1:14" ht="101.5" customHeight="1">
      <c r="A3" s="5">
        <v>2</v>
      </c>
      <c r="B3" s="3" t="s">
        <v>11</v>
      </c>
      <c r="C3" s="9" t="s">
        <v>11</v>
      </c>
      <c r="D3" s="6" t="s">
        <v>13</v>
      </c>
      <c r="E3" s="6" t="s">
        <v>23</v>
      </c>
      <c r="F3" s="4" t="s">
        <v>24</v>
      </c>
      <c r="G3" s="4" t="s">
        <v>16</v>
      </c>
      <c r="H3" s="6" t="s">
        <v>25</v>
      </c>
      <c r="I3" s="9" t="s">
        <v>17</v>
      </c>
      <c r="J3" s="9" t="s">
        <v>26</v>
      </c>
      <c r="K3" s="9" t="s">
        <v>19</v>
      </c>
      <c r="L3" s="4" t="s">
        <v>20</v>
      </c>
      <c r="M3" s="9" t="s">
        <v>21</v>
      </c>
      <c r="N3" s="9" t="s">
        <v>378</v>
      </c>
    </row>
    <row r="4" spans="1:14" ht="112">
      <c r="A4" s="5">
        <v>3</v>
      </c>
      <c r="B4" s="3" t="s">
        <v>436</v>
      </c>
      <c r="C4" s="9" t="s">
        <v>27</v>
      </c>
      <c r="D4" s="6" t="s">
        <v>28</v>
      </c>
      <c r="E4" s="9" t="s">
        <v>29</v>
      </c>
      <c r="F4" s="4" t="s">
        <v>30</v>
      </c>
      <c r="G4" s="4" t="s">
        <v>16</v>
      </c>
      <c r="H4" s="6" t="s">
        <v>31</v>
      </c>
      <c r="I4" s="4" t="s">
        <v>32</v>
      </c>
      <c r="J4" s="9" t="s">
        <v>33</v>
      </c>
      <c r="K4" s="9" t="s">
        <v>34</v>
      </c>
      <c r="L4" s="4" t="s">
        <v>35</v>
      </c>
      <c r="M4" s="4" t="s">
        <v>36</v>
      </c>
      <c r="N4" s="9" t="s">
        <v>767</v>
      </c>
    </row>
    <row r="5" spans="1:14" ht="72.5" customHeight="1">
      <c r="A5" s="5">
        <v>4</v>
      </c>
      <c r="B5" s="3" t="s">
        <v>437</v>
      </c>
      <c r="C5" s="9" t="s">
        <v>37</v>
      </c>
      <c r="D5" s="6" t="s">
        <v>38</v>
      </c>
      <c r="E5" s="6" t="s">
        <v>39</v>
      </c>
      <c r="F5" s="4" t="s">
        <v>40</v>
      </c>
      <c r="G5" s="4" t="s">
        <v>41</v>
      </c>
      <c r="H5" s="6" t="s">
        <v>771</v>
      </c>
      <c r="I5" s="4" t="s">
        <v>32</v>
      </c>
      <c r="J5" s="4" t="s">
        <v>42</v>
      </c>
      <c r="K5" s="9" t="s">
        <v>19</v>
      </c>
      <c r="L5" s="4" t="s">
        <v>35</v>
      </c>
      <c r="M5" s="4" t="s">
        <v>43</v>
      </c>
      <c r="N5" s="9" t="s">
        <v>767</v>
      </c>
    </row>
    <row r="6" spans="1:14" ht="192">
      <c r="A6" s="5">
        <v>5</v>
      </c>
      <c r="B6" s="10" t="s">
        <v>44</v>
      </c>
      <c r="C6" s="6" t="s">
        <v>45</v>
      </c>
      <c r="D6" s="6" t="s">
        <v>46</v>
      </c>
      <c r="E6" s="6" t="s">
        <v>47</v>
      </c>
      <c r="F6" s="6" t="s">
        <v>48</v>
      </c>
      <c r="G6" s="6" t="s">
        <v>16</v>
      </c>
      <c r="H6" s="6" t="s">
        <v>49</v>
      </c>
      <c r="I6" s="6" t="s">
        <v>50</v>
      </c>
      <c r="J6" s="6" t="s">
        <v>51</v>
      </c>
      <c r="K6" s="6" t="s">
        <v>19</v>
      </c>
      <c r="L6" s="6" t="s">
        <v>20</v>
      </c>
      <c r="M6" s="6" t="s">
        <v>380</v>
      </c>
      <c r="N6" s="9" t="s">
        <v>377</v>
      </c>
    </row>
    <row r="7" spans="1:14" ht="174" customHeight="1">
      <c r="A7" s="5">
        <v>6</v>
      </c>
      <c r="B7" s="10" t="s">
        <v>52</v>
      </c>
      <c r="C7" s="6" t="s">
        <v>53</v>
      </c>
      <c r="D7" s="6" t="s">
        <v>54</v>
      </c>
      <c r="E7" s="6" t="s">
        <v>55</v>
      </c>
      <c r="F7" s="6" t="s">
        <v>364</v>
      </c>
      <c r="G7" s="8" t="s">
        <v>41</v>
      </c>
      <c r="H7" s="6" t="s">
        <v>772</v>
      </c>
      <c r="I7" s="6" t="s">
        <v>56</v>
      </c>
      <c r="J7" s="6" t="s">
        <v>773</v>
      </c>
      <c r="K7" s="6" t="s">
        <v>19</v>
      </c>
      <c r="L7" s="6" t="s">
        <v>20</v>
      </c>
      <c r="M7" s="6" t="s">
        <v>43</v>
      </c>
      <c r="N7" s="9" t="s">
        <v>377</v>
      </c>
    </row>
    <row r="8" spans="1:14" ht="176">
      <c r="A8" s="5">
        <v>7</v>
      </c>
      <c r="B8" s="10" t="s">
        <v>58</v>
      </c>
      <c r="C8" s="6" t="s">
        <v>58</v>
      </c>
      <c r="D8" s="6" t="s">
        <v>59</v>
      </c>
      <c r="E8" s="6" t="s">
        <v>61</v>
      </c>
      <c r="F8" s="13" t="s">
        <v>62</v>
      </c>
      <c r="G8" s="8" t="s">
        <v>63</v>
      </c>
      <c r="H8" s="16" t="s">
        <v>774</v>
      </c>
      <c r="I8" s="6" t="s">
        <v>17</v>
      </c>
      <c r="J8" s="6" t="s">
        <v>775</v>
      </c>
      <c r="K8" s="6" t="s">
        <v>19</v>
      </c>
      <c r="L8" s="6" t="s">
        <v>20</v>
      </c>
      <c r="M8" s="4" t="s">
        <v>43</v>
      </c>
      <c r="N8" s="9" t="s">
        <v>378</v>
      </c>
    </row>
    <row r="9" spans="1:14" ht="145" customHeight="1">
      <c r="A9" s="5">
        <v>8</v>
      </c>
      <c r="B9" s="10" t="s">
        <v>58</v>
      </c>
      <c r="C9" s="6" t="s">
        <v>58</v>
      </c>
      <c r="D9" s="6" t="s">
        <v>60</v>
      </c>
      <c r="E9" s="6" t="s">
        <v>61</v>
      </c>
      <c r="F9" s="6" t="s">
        <v>217</v>
      </c>
      <c r="G9" s="8" t="s">
        <v>41</v>
      </c>
      <c r="H9" s="16" t="s">
        <v>776</v>
      </c>
      <c r="I9" s="6" t="s">
        <v>17</v>
      </c>
      <c r="J9" s="6" t="s">
        <v>777</v>
      </c>
      <c r="K9" s="6" t="s">
        <v>19</v>
      </c>
      <c r="L9" s="6" t="s">
        <v>20</v>
      </c>
      <c r="M9" s="4" t="s">
        <v>43</v>
      </c>
      <c r="N9" s="9" t="s">
        <v>378</v>
      </c>
    </row>
    <row r="10" spans="1:14" ht="174" customHeight="1">
      <c r="A10" s="5">
        <v>9</v>
      </c>
      <c r="B10" s="10" t="s">
        <v>65</v>
      </c>
      <c r="C10" s="6" t="s">
        <v>65</v>
      </c>
      <c r="D10" s="6" t="s">
        <v>85</v>
      </c>
      <c r="E10" s="6" t="s">
        <v>59</v>
      </c>
      <c r="F10" s="8" t="s">
        <v>99</v>
      </c>
      <c r="G10" s="6" t="s">
        <v>16</v>
      </c>
      <c r="H10" s="16" t="s">
        <v>778</v>
      </c>
      <c r="I10" s="6" t="s">
        <v>17</v>
      </c>
      <c r="J10" s="6" t="s">
        <v>779</v>
      </c>
      <c r="K10" s="6" t="s">
        <v>19</v>
      </c>
      <c r="L10" s="6" t="s">
        <v>20</v>
      </c>
      <c r="M10" s="4" t="s">
        <v>36</v>
      </c>
      <c r="N10" s="9" t="s">
        <v>378</v>
      </c>
    </row>
    <row r="11" spans="1:14" ht="174" customHeight="1">
      <c r="A11" s="5">
        <v>10</v>
      </c>
      <c r="B11" s="10" t="s">
        <v>65</v>
      </c>
      <c r="C11" s="6" t="s">
        <v>65</v>
      </c>
      <c r="D11" s="6" t="s">
        <v>86</v>
      </c>
      <c r="E11" s="6" t="s">
        <v>59</v>
      </c>
      <c r="F11" s="8" t="s">
        <v>101</v>
      </c>
      <c r="G11" s="8" t="s">
        <v>16</v>
      </c>
      <c r="H11" s="16" t="s">
        <v>102</v>
      </c>
      <c r="I11" s="6" t="s">
        <v>17</v>
      </c>
      <c r="J11" s="6" t="s">
        <v>780</v>
      </c>
      <c r="K11" s="6" t="s">
        <v>19</v>
      </c>
      <c r="L11" s="6" t="s">
        <v>20</v>
      </c>
      <c r="M11" s="4" t="s">
        <v>36</v>
      </c>
      <c r="N11" s="9" t="s">
        <v>378</v>
      </c>
    </row>
    <row r="12" spans="1:14" ht="145" customHeight="1">
      <c r="A12" s="5">
        <v>11</v>
      </c>
      <c r="B12" s="10" t="s">
        <v>66</v>
      </c>
      <c r="C12" s="6" t="s">
        <v>66</v>
      </c>
      <c r="D12" s="6" t="s">
        <v>87</v>
      </c>
      <c r="E12" s="6" t="s">
        <v>104</v>
      </c>
      <c r="F12" s="6" t="s">
        <v>105</v>
      </c>
      <c r="G12" s="8" t="s">
        <v>41</v>
      </c>
      <c r="H12" s="16" t="s">
        <v>106</v>
      </c>
      <c r="I12" s="6" t="s">
        <v>17</v>
      </c>
      <c r="J12" s="6" t="s">
        <v>781</v>
      </c>
      <c r="K12" s="6" t="s">
        <v>19</v>
      </c>
      <c r="L12" s="6" t="s">
        <v>20</v>
      </c>
      <c r="M12" s="4" t="s">
        <v>43</v>
      </c>
      <c r="N12" s="9" t="s">
        <v>378</v>
      </c>
    </row>
    <row r="13" spans="1:14" ht="188.5" customHeight="1">
      <c r="A13" s="5">
        <v>12</v>
      </c>
      <c r="B13" s="10" t="s">
        <v>67</v>
      </c>
      <c r="C13" s="6" t="s">
        <v>67</v>
      </c>
      <c r="D13" s="6" t="s">
        <v>88</v>
      </c>
      <c r="E13" s="6" t="s">
        <v>94</v>
      </c>
      <c r="F13" s="8" t="s">
        <v>108</v>
      </c>
      <c r="G13" s="14" t="s">
        <v>41</v>
      </c>
      <c r="H13" s="16" t="s">
        <v>782</v>
      </c>
      <c r="I13" s="6" t="s">
        <v>17</v>
      </c>
      <c r="J13" s="17" t="s">
        <v>109</v>
      </c>
      <c r="K13" s="6" t="s">
        <v>19</v>
      </c>
      <c r="L13" s="6" t="s">
        <v>20</v>
      </c>
      <c r="M13" s="4" t="s">
        <v>43</v>
      </c>
      <c r="N13" s="9" t="s">
        <v>378</v>
      </c>
    </row>
    <row r="14" spans="1:14" ht="174" customHeight="1">
      <c r="A14" s="5">
        <v>13</v>
      </c>
      <c r="B14" s="10" t="s">
        <v>67</v>
      </c>
      <c r="C14" s="6" t="s">
        <v>67</v>
      </c>
      <c r="D14" s="6" t="s">
        <v>89</v>
      </c>
      <c r="E14" s="6" t="s">
        <v>94</v>
      </c>
      <c r="F14" s="6" t="s">
        <v>110</v>
      </c>
      <c r="G14" s="8" t="s">
        <v>41</v>
      </c>
      <c r="H14" s="6" t="s">
        <v>783</v>
      </c>
      <c r="I14" s="6" t="s">
        <v>50</v>
      </c>
      <c r="J14" s="17" t="s">
        <v>111</v>
      </c>
      <c r="K14" s="6" t="s">
        <v>19</v>
      </c>
      <c r="L14" s="6" t="s">
        <v>20</v>
      </c>
      <c r="M14" s="4" t="s">
        <v>43</v>
      </c>
      <c r="N14" s="9" t="s">
        <v>378</v>
      </c>
    </row>
    <row r="15" spans="1:14" ht="130.5" customHeight="1">
      <c r="A15" s="5">
        <v>14</v>
      </c>
      <c r="B15" s="10" t="s">
        <v>37</v>
      </c>
      <c r="C15" s="6" t="s">
        <v>37</v>
      </c>
      <c r="D15" s="6" t="s">
        <v>90</v>
      </c>
      <c r="E15" s="6" t="s">
        <v>95</v>
      </c>
      <c r="F15" s="6" t="s">
        <v>112</v>
      </c>
      <c r="G15" s="8" t="s">
        <v>41</v>
      </c>
      <c r="H15" s="6" t="s">
        <v>784</v>
      </c>
      <c r="I15" s="6" t="s">
        <v>50</v>
      </c>
      <c r="J15" s="6" t="s">
        <v>113</v>
      </c>
      <c r="K15" s="6" t="s">
        <v>19</v>
      </c>
      <c r="L15" s="6" t="s">
        <v>35</v>
      </c>
      <c r="M15" s="4" t="s">
        <v>43</v>
      </c>
      <c r="N15" s="9" t="s">
        <v>378</v>
      </c>
    </row>
    <row r="16" spans="1:14" ht="176">
      <c r="A16" s="5">
        <v>15</v>
      </c>
      <c r="B16" s="10" t="s">
        <v>66</v>
      </c>
      <c r="C16" s="6" t="s">
        <v>66</v>
      </c>
      <c r="D16" s="6" t="s">
        <v>91</v>
      </c>
      <c r="E16" s="6" t="s">
        <v>46</v>
      </c>
      <c r="F16" s="6" t="s">
        <v>114</v>
      </c>
      <c r="G16" s="8" t="s">
        <v>41</v>
      </c>
      <c r="H16" s="16" t="s">
        <v>785</v>
      </c>
      <c r="I16" s="6" t="s">
        <v>50</v>
      </c>
      <c r="J16" s="6" t="s">
        <v>786</v>
      </c>
      <c r="K16" s="6" t="s">
        <v>19</v>
      </c>
      <c r="L16" s="6" t="s">
        <v>20</v>
      </c>
      <c r="M16" s="4" t="s">
        <v>43</v>
      </c>
      <c r="N16" s="9" t="s">
        <v>378</v>
      </c>
    </row>
    <row r="17" spans="1:14" ht="176">
      <c r="A17" s="5">
        <v>16</v>
      </c>
      <c r="B17" s="10" t="s">
        <v>68</v>
      </c>
      <c r="C17" s="6" t="s">
        <v>68</v>
      </c>
      <c r="D17" s="6" t="s">
        <v>13</v>
      </c>
      <c r="E17" s="6" t="s">
        <v>117</v>
      </c>
      <c r="F17" s="14" t="s">
        <v>118</v>
      </c>
      <c r="G17" s="8" t="s">
        <v>16</v>
      </c>
      <c r="H17" s="6" t="s">
        <v>119</v>
      </c>
      <c r="I17" s="6" t="s">
        <v>50</v>
      </c>
      <c r="J17" s="6" t="s">
        <v>120</v>
      </c>
      <c r="K17" s="6" t="s">
        <v>19</v>
      </c>
      <c r="L17" s="6" t="s">
        <v>20</v>
      </c>
      <c r="M17" s="4" t="s">
        <v>21</v>
      </c>
      <c r="N17" s="9" t="s">
        <v>377</v>
      </c>
    </row>
    <row r="18" spans="1:14" ht="174" customHeight="1">
      <c r="A18" s="5">
        <v>17</v>
      </c>
      <c r="B18" s="10" t="s">
        <v>12</v>
      </c>
      <c r="C18" s="6" t="s">
        <v>12</v>
      </c>
      <c r="D18" s="6" t="s">
        <v>93</v>
      </c>
      <c r="E18" s="6" t="s">
        <v>121</v>
      </c>
      <c r="F18" s="6" t="s">
        <v>122</v>
      </c>
      <c r="G18" s="6" t="s">
        <v>16</v>
      </c>
      <c r="H18" s="6" t="s">
        <v>787</v>
      </c>
      <c r="I18" s="6" t="s">
        <v>56</v>
      </c>
      <c r="J18" s="6" t="s">
        <v>123</v>
      </c>
      <c r="K18" s="6" t="s">
        <v>19</v>
      </c>
      <c r="L18" s="6" t="s">
        <v>20</v>
      </c>
      <c r="M18" s="4" t="s">
        <v>21</v>
      </c>
      <c r="N18" s="9" t="s">
        <v>378</v>
      </c>
    </row>
    <row r="19" spans="1:14" ht="160">
      <c r="A19" s="5">
        <v>18</v>
      </c>
      <c r="B19" s="10" t="s">
        <v>12</v>
      </c>
      <c r="C19" s="6" t="s">
        <v>12</v>
      </c>
      <c r="D19" s="6" t="s">
        <v>94</v>
      </c>
      <c r="E19" s="6" t="s">
        <v>14</v>
      </c>
      <c r="F19" s="6" t="s">
        <v>124</v>
      </c>
      <c r="G19" s="8" t="s">
        <v>16</v>
      </c>
      <c r="H19" s="6" t="s">
        <v>788</v>
      </c>
      <c r="I19" s="6" t="s">
        <v>56</v>
      </c>
      <c r="J19" s="6" t="s">
        <v>123</v>
      </c>
      <c r="K19" s="6" t="s">
        <v>19</v>
      </c>
      <c r="L19" s="6" t="s">
        <v>20</v>
      </c>
      <c r="M19" s="4" t="s">
        <v>21</v>
      </c>
      <c r="N19" s="9" t="s">
        <v>378</v>
      </c>
    </row>
    <row r="20" spans="1:14" ht="145" customHeight="1">
      <c r="A20" s="5">
        <v>19</v>
      </c>
      <c r="B20" s="10" t="s">
        <v>12</v>
      </c>
      <c r="C20" s="6" t="s">
        <v>12</v>
      </c>
      <c r="D20" s="6" t="s">
        <v>38</v>
      </c>
      <c r="E20" s="6" t="s">
        <v>125</v>
      </c>
      <c r="F20" s="8" t="s">
        <v>126</v>
      </c>
      <c r="G20" s="8" t="s">
        <v>16</v>
      </c>
      <c r="H20" s="6" t="s">
        <v>789</v>
      </c>
      <c r="I20" s="6" t="s">
        <v>56</v>
      </c>
      <c r="J20" s="6" t="s">
        <v>123</v>
      </c>
      <c r="K20" s="6" t="s">
        <v>19</v>
      </c>
      <c r="L20" s="6" t="s">
        <v>20</v>
      </c>
      <c r="M20" s="4" t="s">
        <v>21</v>
      </c>
      <c r="N20" s="9" t="s">
        <v>378</v>
      </c>
    </row>
    <row r="21" spans="1:14" ht="160">
      <c r="A21" s="5">
        <v>20</v>
      </c>
      <c r="B21" s="10" t="s">
        <v>69</v>
      </c>
      <c r="C21" s="6" t="s">
        <v>69</v>
      </c>
      <c r="D21" s="6" t="s">
        <v>54</v>
      </c>
      <c r="E21" s="6" t="s">
        <v>127</v>
      </c>
      <c r="F21" s="6" t="s">
        <v>128</v>
      </c>
      <c r="G21" s="8" t="s">
        <v>16</v>
      </c>
      <c r="H21" s="6" t="s">
        <v>790</v>
      </c>
      <c r="I21" s="6" t="s">
        <v>50</v>
      </c>
      <c r="J21" s="6" t="s">
        <v>129</v>
      </c>
      <c r="K21" s="6" t="s">
        <v>19</v>
      </c>
      <c r="L21" s="6" t="s">
        <v>20</v>
      </c>
      <c r="M21" s="4" t="s">
        <v>380</v>
      </c>
      <c r="N21" s="9" t="s">
        <v>377</v>
      </c>
    </row>
    <row r="22" spans="1:14" ht="159.5" customHeight="1">
      <c r="A22" s="5">
        <v>21</v>
      </c>
      <c r="B22" s="10" t="s">
        <v>70</v>
      </c>
      <c r="C22" s="6" t="s">
        <v>70</v>
      </c>
      <c r="D22" s="6" t="s">
        <v>13</v>
      </c>
      <c r="E22" s="6" t="s">
        <v>117</v>
      </c>
      <c r="F22" s="6" t="s">
        <v>130</v>
      </c>
      <c r="G22" s="8" t="s">
        <v>16</v>
      </c>
      <c r="H22" s="6" t="s">
        <v>791</v>
      </c>
      <c r="I22" s="6" t="s">
        <v>50</v>
      </c>
      <c r="J22" s="6" t="s">
        <v>792</v>
      </c>
      <c r="K22" s="6" t="s">
        <v>19</v>
      </c>
      <c r="L22" s="6" t="s">
        <v>20</v>
      </c>
      <c r="M22" s="4" t="s">
        <v>43</v>
      </c>
      <c r="N22" s="9" t="s">
        <v>378</v>
      </c>
    </row>
    <row r="23" spans="1:14" ht="174" customHeight="1">
      <c r="A23" s="5">
        <v>22</v>
      </c>
      <c r="B23" s="10" t="s">
        <v>71</v>
      </c>
      <c r="C23" s="6" t="s">
        <v>71</v>
      </c>
      <c r="D23" s="6" t="s">
        <v>46</v>
      </c>
      <c r="E23" s="6" t="s">
        <v>132</v>
      </c>
      <c r="F23" s="6" t="s">
        <v>133</v>
      </c>
      <c r="G23" s="8" t="s">
        <v>41</v>
      </c>
      <c r="H23" s="6" t="s">
        <v>134</v>
      </c>
      <c r="I23" s="6" t="s">
        <v>50</v>
      </c>
      <c r="J23" s="6" t="s">
        <v>135</v>
      </c>
      <c r="K23" s="6" t="s">
        <v>19</v>
      </c>
      <c r="L23" s="6" t="s">
        <v>642</v>
      </c>
      <c r="M23" s="4" t="s">
        <v>43</v>
      </c>
      <c r="N23" s="9" t="s">
        <v>378</v>
      </c>
    </row>
    <row r="24" spans="1:14" ht="128">
      <c r="A24" s="5">
        <v>23</v>
      </c>
      <c r="B24" s="10" t="s">
        <v>72</v>
      </c>
      <c r="C24" s="6" t="s">
        <v>72</v>
      </c>
      <c r="D24" s="6" t="s">
        <v>60</v>
      </c>
      <c r="E24" s="6" t="s">
        <v>136</v>
      </c>
      <c r="F24" s="6" t="s">
        <v>217</v>
      </c>
      <c r="G24" s="8" t="s">
        <v>41</v>
      </c>
      <c r="H24" s="6" t="s">
        <v>793</v>
      </c>
      <c r="I24" s="6" t="s">
        <v>50</v>
      </c>
      <c r="J24" s="6" t="s">
        <v>137</v>
      </c>
      <c r="K24" s="6" t="s">
        <v>19</v>
      </c>
      <c r="L24" s="6" t="s">
        <v>20</v>
      </c>
      <c r="M24" s="4" t="s">
        <v>43</v>
      </c>
      <c r="N24" s="9" t="s">
        <v>378</v>
      </c>
    </row>
    <row r="25" spans="1:14" ht="144">
      <c r="A25" s="5">
        <v>24</v>
      </c>
      <c r="B25" s="10" t="s">
        <v>72</v>
      </c>
      <c r="C25" s="6" t="s">
        <v>72</v>
      </c>
      <c r="D25" s="6" t="s">
        <v>95</v>
      </c>
      <c r="E25" s="6" t="s">
        <v>136</v>
      </c>
      <c r="F25" s="6" t="s">
        <v>138</v>
      </c>
      <c r="G25" s="8" t="s">
        <v>41</v>
      </c>
      <c r="H25" s="6" t="s">
        <v>139</v>
      </c>
      <c r="I25" s="6" t="s">
        <v>56</v>
      </c>
      <c r="J25" s="6" t="s">
        <v>137</v>
      </c>
      <c r="K25" s="6" t="s">
        <v>19</v>
      </c>
      <c r="L25" s="6" t="s">
        <v>20</v>
      </c>
      <c r="M25" s="4" t="s">
        <v>43</v>
      </c>
      <c r="N25" s="9" t="s">
        <v>378</v>
      </c>
    </row>
    <row r="26" spans="1:14" ht="130.5" customHeight="1">
      <c r="A26" s="5">
        <v>25</v>
      </c>
      <c r="B26" s="10" t="s">
        <v>66</v>
      </c>
      <c r="C26" s="6" t="s">
        <v>73</v>
      </c>
      <c r="D26" s="6" t="s">
        <v>87</v>
      </c>
      <c r="E26" s="6" t="s">
        <v>55</v>
      </c>
      <c r="F26" s="6" t="s">
        <v>105</v>
      </c>
      <c r="G26" s="8" t="s">
        <v>41</v>
      </c>
      <c r="H26" s="6" t="s">
        <v>140</v>
      </c>
      <c r="I26" s="6" t="s">
        <v>17</v>
      </c>
      <c r="J26" s="6" t="s">
        <v>141</v>
      </c>
      <c r="K26" s="6" t="s">
        <v>19</v>
      </c>
      <c r="L26" s="6" t="s">
        <v>20</v>
      </c>
      <c r="M26" s="4" t="s">
        <v>43</v>
      </c>
      <c r="N26" s="9" t="s">
        <v>378</v>
      </c>
    </row>
    <row r="27" spans="1:14" ht="159.5" customHeight="1">
      <c r="A27" s="5">
        <v>26</v>
      </c>
      <c r="B27" s="10" t="s">
        <v>66</v>
      </c>
      <c r="C27" s="6" t="s">
        <v>73</v>
      </c>
      <c r="D27" s="6" t="s">
        <v>91</v>
      </c>
      <c r="E27" s="6" t="s">
        <v>55</v>
      </c>
      <c r="F27" s="14" t="s">
        <v>142</v>
      </c>
      <c r="G27" s="8" t="s">
        <v>41</v>
      </c>
      <c r="H27" s="6" t="s">
        <v>794</v>
      </c>
      <c r="I27" s="6" t="s">
        <v>17</v>
      </c>
      <c r="J27" s="6" t="s">
        <v>141</v>
      </c>
      <c r="K27" s="6" t="s">
        <v>19</v>
      </c>
      <c r="L27" s="6" t="s">
        <v>20</v>
      </c>
      <c r="M27" s="4" t="s">
        <v>43</v>
      </c>
      <c r="N27" s="9" t="s">
        <v>378</v>
      </c>
    </row>
    <row r="28" spans="1:14" ht="96">
      <c r="A28" s="5">
        <v>27</v>
      </c>
      <c r="B28" s="10" t="s">
        <v>74</v>
      </c>
      <c r="C28" s="6" t="s">
        <v>75</v>
      </c>
      <c r="D28" s="6" t="s">
        <v>39</v>
      </c>
      <c r="E28" s="6" t="s">
        <v>55</v>
      </c>
      <c r="F28" s="6" t="s">
        <v>143</v>
      </c>
      <c r="G28" s="8" t="s">
        <v>41</v>
      </c>
      <c r="H28" s="6" t="s">
        <v>795</v>
      </c>
      <c r="I28" s="6" t="s">
        <v>50</v>
      </c>
      <c r="J28" s="6" t="s">
        <v>144</v>
      </c>
      <c r="K28" s="6" t="s">
        <v>19</v>
      </c>
      <c r="L28" s="6" t="s">
        <v>20</v>
      </c>
      <c r="M28" s="4" t="s">
        <v>43</v>
      </c>
      <c r="N28" s="9" t="s">
        <v>378</v>
      </c>
    </row>
    <row r="29" spans="1:14" ht="145" customHeight="1">
      <c r="A29" s="5">
        <v>28</v>
      </c>
      <c r="B29" s="10" t="s">
        <v>76</v>
      </c>
      <c r="C29" s="6" t="s">
        <v>76</v>
      </c>
      <c r="D29" s="6" t="s">
        <v>96</v>
      </c>
      <c r="E29" s="6" t="s">
        <v>55</v>
      </c>
      <c r="F29" s="6" t="s">
        <v>145</v>
      </c>
      <c r="G29" s="8" t="s">
        <v>41</v>
      </c>
      <c r="H29" s="6" t="s">
        <v>796</v>
      </c>
      <c r="I29" s="6" t="s">
        <v>17</v>
      </c>
      <c r="J29" s="6" t="s">
        <v>146</v>
      </c>
      <c r="K29" s="6" t="s">
        <v>19</v>
      </c>
      <c r="L29" s="6" t="s">
        <v>20</v>
      </c>
      <c r="M29" s="4" t="s">
        <v>43</v>
      </c>
      <c r="N29" s="9" t="s">
        <v>378</v>
      </c>
    </row>
    <row r="30" spans="1:14" ht="145" customHeight="1">
      <c r="A30" s="5">
        <v>29</v>
      </c>
      <c r="B30" s="10" t="s">
        <v>77</v>
      </c>
      <c r="C30" s="6" t="s">
        <v>78</v>
      </c>
      <c r="D30" s="6" t="s">
        <v>97</v>
      </c>
      <c r="E30" s="6" t="s">
        <v>55</v>
      </c>
      <c r="F30" s="6" t="s">
        <v>147</v>
      </c>
      <c r="G30" s="8" t="s">
        <v>41</v>
      </c>
      <c r="H30" s="6" t="s">
        <v>797</v>
      </c>
      <c r="I30" s="6" t="s">
        <v>17</v>
      </c>
      <c r="J30" s="6" t="s">
        <v>148</v>
      </c>
      <c r="K30" s="6" t="s">
        <v>19</v>
      </c>
      <c r="L30" s="6" t="s">
        <v>20</v>
      </c>
      <c r="M30" s="4" t="s">
        <v>43</v>
      </c>
      <c r="N30" s="9" t="s">
        <v>378</v>
      </c>
    </row>
    <row r="31" spans="1:14" ht="130.5" customHeight="1">
      <c r="A31" s="5">
        <v>30</v>
      </c>
      <c r="B31" s="10" t="s">
        <v>72</v>
      </c>
      <c r="C31" s="6" t="s">
        <v>79</v>
      </c>
      <c r="D31" s="6" t="s">
        <v>95</v>
      </c>
      <c r="E31" s="6" t="s">
        <v>55</v>
      </c>
      <c r="F31" s="6" t="s">
        <v>138</v>
      </c>
      <c r="G31" s="8" t="s">
        <v>41</v>
      </c>
      <c r="H31" s="6" t="s">
        <v>798</v>
      </c>
      <c r="I31" s="6" t="s">
        <v>56</v>
      </c>
      <c r="J31" s="6" t="s">
        <v>799</v>
      </c>
      <c r="K31" s="6" t="s">
        <v>19</v>
      </c>
      <c r="L31" s="6" t="s">
        <v>20</v>
      </c>
      <c r="M31" s="4" t="s">
        <v>43</v>
      </c>
      <c r="N31" s="9" t="s">
        <v>378</v>
      </c>
    </row>
    <row r="32" spans="1:14" ht="144">
      <c r="A32" s="5">
        <v>31</v>
      </c>
      <c r="B32" s="10" t="s">
        <v>80</v>
      </c>
      <c r="C32" s="6" t="s">
        <v>80</v>
      </c>
      <c r="D32" s="6" t="s">
        <v>88</v>
      </c>
      <c r="E32" s="6" t="s">
        <v>55</v>
      </c>
      <c r="F32" s="6" t="s">
        <v>150</v>
      </c>
      <c r="G32" s="8" t="s">
        <v>16</v>
      </c>
      <c r="H32" s="6" t="s">
        <v>800</v>
      </c>
      <c r="I32" s="6" t="s">
        <v>17</v>
      </c>
      <c r="J32" s="6" t="s">
        <v>801</v>
      </c>
      <c r="K32" s="6" t="s">
        <v>19</v>
      </c>
      <c r="L32" s="6" t="s">
        <v>20</v>
      </c>
      <c r="M32" s="4" t="s">
        <v>43</v>
      </c>
      <c r="N32" s="9" t="s">
        <v>378</v>
      </c>
    </row>
    <row r="33" spans="1:14" ht="159.5" customHeight="1">
      <c r="A33" s="5">
        <v>32</v>
      </c>
      <c r="B33" s="10" t="s">
        <v>80</v>
      </c>
      <c r="C33" s="6" t="s">
        <v>80</v>
      </c>
      <c r="D33" s="6" t="s">
        <v>88</v>
      </c>
      <c r="E33" s="6" t="s">
        <v>136</v>
      </c>
      <c r="F33" s="6" t="s">
        <v>150</v>
      </c>
      <c r="G33" s="8" t="s">
        <v>16</v>
      </c>
      <c r="H33" s="6" t="s">
        <v>152</v>
      </c>
      <c r="I33" s="6" t="s">
        <v>17</v>
      </c>
      <c r="J33" s="6" t="s">
        <v>801</v>
      </c>
      <c r="K33" s="6" t="s">
        <v>19</v>
      </c>
      <c r="L33" s="6" t="s">
        <v>20</v>
      </c>
      <c r="M33" s="4" t="s">
        <v>43</v>
      </c>
      <c r="N33" s="9" t="s">
        <v>378</v>
      </c>
    </row>
    <row r="34" spans="1:14" ht="112">
      <c r="A34" s="5">
        <v>33</v>
      </c>
      <c r="B34" s="10" t="s">
        <v>81</v>
      </c>
      <c r="C34" s="6" t="s">
        <v>82</v>
      </c>
      <c r="D34" s="6" t="s">
        <v>98</v>
      </c>
      <c r="E34" s="6" t="s">
        <v>153</v>
      </c>
      <c r="F34" s="6" t="s">
        <v>154</v>
      </c>
      <c r="G34" s="8" t="s">
        <v>16</v>
      </c>
      <c r="H34" s="6" t="s">
        <v>802</v>
      </c>
      <c r="I34" s="6" t="s">
        <v>17</v>
      </c>
      <c r="J34" s="6" t="s">
        <v>368</v>
      </c>
      <c r="K34" s="6" t="s">
        <v>19</v>
      </c>
      <c r="L34" s="6" t="s">
        <v>20</v>
      </c>
      <c r="M34" s="4" t="s">
        <v>43</v>
      </c>
      <c r="N34" s="9" t="s">
        <v>378</v>
      </c>
    </row>
    <row r="35" spans="1:14" ht="96">
      <c r="A35" s="5">
        <v>34</v>
      </c>
      <c r="B35" s="10" t="s">
        <v>81</v>
      </c>
      <c r="C35" s="6" t="s">
        <v>82</v>
      </c>
      <c r="D35" s="6" t="s">
        <v>60</v>
      </c>
      <c r="E35" s="6" t="s">
        <v>153</v>
      </c>
      <c r="F35" s="6" t="s">
        <v>217</v>
      </c>
      <c r="G35" s="8" t="s">
        <v>41</v>
      </c>
      <c r="H35" s="6" t="s">
        <v>803</v>
      </c>
      <c r="I35" s="6" t="s">
        <v>17</v>
      </c>
      <c r="J35" s="6" t="s">
        <v>368</v>
      </c>
      <c r="K35" s="6" t="s">
        <v>19</v>
      </c>
      <c r="L35" s="6" t="s">
        <v>20</v>
      </c>
      <c r="M35" s="4" t="s">
        <v>43</v>
      </c>
      <c r="N35" s="9" t="s">
        <v>378</v>
      </c>
    </row>
    <row r="36" spans="1:14" ht="145" customHeight="1">
      <c r="A36" s="5">
        <v>35</v>
      </c>
      <c r="B36" s="10" t="s">
        <v>83</v>
      </c>
      <c r="C36" s="6" t="s">
        <v>79</v>
      </c>
      <c r="D36" s="6" t="s">
        <v>46</v>
      </c>
      <c r="E36" s="6" t="s">
        <v>61</v>
      </c>
      <c r="F36" s="6" t="s">
        <v>155</v>
      </c>
      <c r="G36" s="8" t="s">
        <v>41</v>
      </c>
      <c r="H36" s="6" t="s">
        <v>804</v>
      </c>
      <c r="I36" s="6" t="s">
        <v>56</v>
      </c>
      <c r="J36" s="6" t="s">
        <v>805</v>
      </c>
      <c r="K36" s="6" t="s">
        <v>19</v>
      </c>
      <c r="L36" s="6" t="s">
        <v>20</v>
      </c>
      <c r="M36" s="4" t="s">
        <v>43</v>
      </c>
      <c r="N36" s="9" t="s">
        <v>378</v>
      </c>
    </row>
    <row r="37" spans="1:14" ht="160">
      <c r="A37" s="5">
        <v>36</v>
      </c>
      <c r="B37" s="10" t="s">
        <v>66</v>
      </c>
      <c r="C37" s="6" t="s">
        <v>66</v>
      </c>
      <c r="D37" s="6" t="s">
        <v>91</v>
      </c>
      <c r="E37" s="6" t="s">
        <v>116</v>
      </c>
      <c r="F37" s="6" t="s">
        <v>114</v>
      </c>
      <c r="G37" s="8" t="s">
        <v>41</v>
      </c>
      <c r="H37" s="16" t="s">
        <v>806</v>
      </c>
      <c r="I37" s="6" t="s">
        <v>17</v>
      </c>
      <c r="J37" s="6" t="s">
        <v>157</v>
      </c>
      <c r="K37" s="6" t="s">
        <v>19</v>
      </c>
      <c r="L37" s="6" t="s">
        <v>20</v>
      </c>
      <c r="M37" s="4" t="s">
        <v>43</v>
      </c>
      <c r="N37" s="9" t="s">
        <v>378</v>
      </c>
    </row>
    <row r="38" spans="1:14" ht="192">
      <c r="A38" s="5">
        <v>37</v>
      </c>
      <c r="B38" s="10" t="s">
        <v>44</v>
      </c>
      <c r="C38" s="6" t="s">
        <v>45</v>
      </c>
      <c r="D38" s="6" t="s">
        <v>46</v>
      </c>
      <c r="E38" s="6" t="s">
        <v>86</v>
      </c>
      <c r="F38" s="6" t="s">
        <v>48</v>
      </c>
      <c r="G38" s="6" t="s">
        <v>16</v>
      </c>
      <c r="H38" s="6" t="s">
        <v>49</v>
      </c>
      <c r="I38" s="6" t="s">
        <v>50</v>
      </c>
      <c r="J38" s="6" t="s">
        <v>51</v>
      </c>
      <c r="K38" s="6" t="s">
        <v>19</v>
      </c>
      <c r="L38" s="6" t="s">
        <v>20</v>
      </c>
      <c r="M38" s="4" t="s">
        <v>380</v>
      </c>
      <c r="N38" s="9" t="s">
        <v>377</v>
      </c>
    </row>
    <row r="39" spans="1:14" ht="145" customHeight="1">
      <c r="A39" s="5">
        <v>38</v>
      </c>
      <c r="B39" s="10" t="s">
        <v>84</v>
      </c>
      <c r="C39" s="6" t="s">
        <v>84</v>
      </c>
      <c r="D39" s="6" t="s">
        <v>13</v>
      </c>
      <c r="E39" s="6" t="s">
        <v>158</v>
      </c>
      <c r="F39" s="6" t="s">
        <v>159</v>
      </c>
      <c r="G39" s="6" t="s">
        <v>16</v>
      </c>
      <c r="H39" s="6" t="s">
        <v>160</v>
      </c>
      <c r="I39" s="6" t="s">
        <v>50</v>
      </c>
      <c r="J39" s="6" t="s">
        <v>161</v>
      </c>
      <c r="K39" s="6" t="s">
        <v>19</v>
      </c>
      <c r="L39" s="6" t="s">
        <v>20</v>
      </c>
      <c r="M39" s="4" t="s">
        <v>21</v>
      </c>
      <c r="N39" s="9" t="s">
        <v>378</v>
      </c>
    </row>
    <row r="40" spans="1:14" ht="159.5" customHeight="1">
      <c r="A40" s="5">
        <v>39</v>
      </c>
      <c r="B40" s="10" t="s">
        <v>65</v>
      </c>
      <c r="C40" s="6" t="s">
        <v>65</v>
      </c>
      <c r="D40" s="6" t="s">
        <v>86</v>
      </c>
      <c r="E40" s="6" t="s">
        <v>162</v>
      </c>
      <c r="F40" s="6" t="s">
        <v>163</v>
      </c>
      <c r="G40" s="6" t="s">
        <v>16</v>
      </c>
      <c r="H40" s="16" t="s">
        <v>807</v>
      </c>
      <c r="I40" s="6" t="s">
        <v>50</v>
      </c>
      <c r="J40" s="6" t="s">
        <v>164</v>
      </c>
      <c r="K40" s="6" t="s">
        <v>19</v>
      </c>
      <c r="L40" s="6" t="s">
        <v>20</v>
      </c>
      <c r="M40" s="4" t="s">
        <v>36</v>
      </c>
      <c r="N40" s="9" t="s">
        <v>378</v>
      </c>
    </row>
    <row r="41" spans="1:14" ht="145" customHeight="1">
      <c r="A41" s="5">
        <v>40</v>
      </c>
      <c r="B41" s="10" t="s">
        <v>72</v>
      </c>
      <c r="C41" s="6" t="s">
        <v>165</v>
      </c>
      <c r="D41" s="6" t="s">
        <v>95</v>
      </c>
      <c r="E41" s="6" t="s">
        <v>168</v>
      </c>
      <c r="F41" s="6" t="s">
        <v>138</v>
      </c>
      <c r="G41" s="8" t="s">
        <v>41</v>
      </c>
      <c r="H41" s="6" t="s">
        <v>808</v>
      </c>
      <c r="I41" s="6" t="s">
        <v>50</v>
      </c>
      <c r="J41" s="6" t="s">
        <v>169</v>
      </c>
      <c r="K41" s="6" t="s">
        <v>19</v>
      </c>
      <c r="L41" s="6" t="s">
        <v>20</v>
      </c>
      <c r="M41" s="4" t="s">
        <v>43</v>
      </c>
      <c r="N41" s="9" t="s">
        <v>766</v>
      </c>
    </row>
    <row r="42" spans="1:14" ht="159.5" customHeight="1">
      <c r="A42" s="5">
        <v>41</v>
      </c>
      <c r="B42" s="10" t="s">
        <v>166</v>
      </c>
      <c r="C42" s="6" t="s">
        <v>166</v>
      </c>
      <c r="D42" s="6" t="s">
        <v>98</v>
      </c>
      <c r="E42" s="6" t="s">
        <v>168</v>
      </c>
      <c r="F42" s="6" t="s">
        <v>170</v>
      </c>
      <c r="G42" s="8" t="s">
        <v>16</v>
      </c>
      <c r="H42" s="6" t="s">
        <v>809</v>
      </c>
      <c r="I42" s="6" t="s">
        <v>17</v>
      </c>
      <c r="J42" s="6" t="s">
        <v>171</v>
      </c>
      <c r="K42" s="6" t="s">
        <v>19</v>
      </c>
      <c r="L42" s="6" t="s">
        <v>20</v>
      </c>
      <c r="M42" s="4" t="s">
        <v>43</v>
      </c>
      <c r="N42" s="9" t="s">
        <v>766</v>
      </c>
    </row>
    <row r="43" spans="1:14" ht="159.5" customHeight="1">
      <c r="A43" s="5">
        <v>42</v>
      </c>
      <c r="B43" s="10" t="s">
        <v>74</v>
      </c>
      <c r="C43" s="6" t="s">
        <v>74</v>
      </c>
      <c r="D43" s="6" t="s">
        <v>167</v>
      </c>
      <c r="E43" s="6" t="s">
        <v>168</v>
      </c>
      <c r="F43" s="6" t="s">
        <v>172</v>
      </c>
      <c r="G43" s="8" t="s">
        <v>16</v>
      </c>
      <c r="H43" s="6" t="s">
        <v>810</v>
      </c>
      <c r="I43" s="6" t="s">
        <v>50</v>
      </c>
      <c r="J43" s="6" t="s">
        <v>173</v>
      </c>
      <c r="K43" s="6" t="s">
        <v>19</v>
      </c>
      <c r="L43" s="6" t="s">
        <v>20</v>
      </c>
      <c r="M43" s="4" t="s">
        <v>43</v>
      </c>
      <c r="N43" s="9" t="s">
        <v>766</v>
      </c>
    </row>
    <row r="44" spans="1:14" ht="159.5" customHeight="1">
      <c r="A44" s="5">
        <v>43</v>
      </c>
      <c r="B44" s="10" t="s">
        <v>74</v>
      </c>
      <c r="C44" s="6" t="s">
        <v>74</v>
      </c>
      <c r="D44" s="6" t="s">
        <v>39</v>
      </c>
      <c r="E44" s="6" t="s">
        <v>168</v>
      </c>
      <c r="F44" s="6" t="s">
        <v>174</v>
      </c>
      <c r="G44" s="8" t="s">
        <v>16</v>
      </c>
      <c r="H44" s="6" t="s">
        <v>811</v>
      </c>
      <c r="I44" s="6" t="s">
        <v>17</v>
      </c>
      <c r="J44" s="6" t="s">
        <v>175</v>
      </c>
      <c r="K44" s="6" t="s">
        <v>19</v>
      </c>
      <c r="L44" s="6" t="s">
        <v>20</v>
      </c>
      <c r="M44" s="4" t="s">
        <v>43</v>
      </c>
      <c r="N44" s="9" t="s">
        <v>766</v>
      </c>
    </row>
    <row r="45" spans="1:14" ht="145" customHeight="1">
      <c r="A45" s="5">
        <v>44</v>
      </c>
      <c r="B45" s="10" t="s">
        <v>76</v>
      </c>
      <c r="C45" s="6" t="s">
        <v>76</v>
      </c>
      <c r="D45" s="6" t="s">
        <v>96</v>
      </c>
      <c r="E45" s="6" t="s">
        <v>178</v>
      </c>
      <c r="F45" s="6" t="s">
        <v>145</v>
      </c>
      <c r="G45" s="8" t="s">
        <v>41</v>
      </c>
      <c r="H45" s="6" t="s">
        <v>812</v>
      </c>
      <c r="I45" s="6" t="s">
        <v>50</v>
      </c>
      <c r="J45" s="6" t="s">
        <v>179</v>
      </c>
      <c r="K45" s="6" t="s">
        <v>19</v>
      </c>
      <c r="L45" s="6" t="s">
        <v>20</v>
      </c>
      <c r="M45" s="4" t="s">
        <v>43</v>
      </c>
      <c r="N45" s="9" t="s">
        <v>766</v>
      </c>
    </row>
    <row r="46" spans="1:14" ht="159.5" customHeight="1">
      <c r="A46" s="5">
        <v>45</v>
      </c>
      <c r="B46" s="10" t="s">
        <v>74</v>
      </c>
      <c r="C46" s="6" t="s">
        <v>74</v>
      </c>
      <c r="D46" s="6" t="s">
        <v>94</v>
      </c>
      <c r="E46" s="6" t="s">
        <v>86</v>
      </c>
      <c r="F46" s="6" t="s">
        <v>180</v>
      </c>
      <c r="G46" s="8" t="s">
        <v>16</v>
      </c>
      <c r="H46" s="6" t="s">
        <v>813</v>
      </c>
      <c r="I46" s="6" t="s">
        <v>50</v>
      </c>
      <c r="J46" s="6" t="s">
        <v>181</v>
      </c>
      <c r="K46" s="6" t="s">
        <v>19</v>
      </c>
      <c r="L46" s="6" t="s">
        <v>20</v>
      </c>
      <c r="M46" s="4" t="s">
        <v>43</v>
      </c>
      <c r="N46" s="9" t="s">
        <v>766</v>
      </c>
    </row>
    <row r="47" spans="1:14" ht="159.5" customHeight="1">
      <c r="A47" s="5">
        <v>46</v>
      </c>
      <c r="B47" s="10" t="s">
        <v>74</v>
      </c>
      <c r="C47" s="6" t="s">
        <v>74</v>
      </c>
      <c r="D47" s="6" t="s">
        <v>39</v>
      </c>
      <c r="E47" s="6" t="s">
        <v>86</v>
      </c>
      <c r="F47" s="6" t="s">
        <v>143</v>
      </c>
      <c r="G47" s="8" t="s">
        <v>16</v>
      </c>
      <c r="H47" s="6" t="s">
        <v>814</v>
      </c>
      <c r="I47" s="6" t="s">
        <v>17</v>
      </c>
      <c r="J47" s="6" t="s">
        <v>175</v>
      </c>
      <c r="K47" s="6" t="s">
        <v>19</v>
      </c>
      <c r="L47" s="6" t="s">
        <v>20</v>
      </c>
      <c r="M47" s="4" t="s">
        <v>43</v>
      </c>
      <c r="N47" s="9" t="s">
        <v>766</v>
      </c>
    </row>
    <row r="48" spans="1:14" ht="144">
      <c r="A48" s="5">
        <v>47</v>
      </c>
      <c r="B48" s="10" t="s">
        <v>11</v>
      </c>
      <c r="C48" s="6" t="s">
        <v>11</v>
      </c>
      <c r="D48" s="6" t="s">
        <v>13</v>
      </c>
      <c r="E48" s="6" t="s">
        <v>182</v>
      </c>
      <c r="F48" s="6" t="s">
        <v>24</v>
      </c>
      <c r="G48" s="8" t="s">
        <v>41</v>
      </c>
      <c r="H48" s="6" t="s">
        <v>815</v>
      </c>
      <c r="I48" s="6" t="s">
        <v>56</v>
      </c>
      <c r="J48" s="6" t="s">
        <v>183</v>
      </c>
      <c r="K48" s="6" t="s">
        <v>34</v>
      </c>
      <c r="L48" s="6" t="s">
        <v>20</v>
      </c>
      <c r="M48" s="4" t="s">
        <v>21</v>
      </c>
      <c r="N48" s="9" t="s">
        <v>766</v>
      </c>
    </row>
    <row r="49" spans="1:14" ht="145" customHeight="1">
      <c r="A49" s="5">
        <v>48</v>
      </c>
      <c r="B49" s="10" t="s">
        <v>176</v>
      </c>
      <c r="C49" s="6" t="s">
        <v>176</v>
      </c>
      <c r="D49" s="6" t="s">
        <v>95</v>
      </c>
      <c r="E49" s="6" t="s">
        <v>182</v>
      </c>
      <c r="F49" s="6" t="s">
        <v>184</v>
      </c>
      <c r="G49" s="6" t="s">
        <v>41</v>
      </c>
      <c r="H49" s="6" t="s">
        <v>816</v>
      </c>
      <c r="I49" s="6" t="s">
        <v>56</v>
      </c>
      <c r="J49" s="6" t="s">
        <v>185</v>
      </c>
      <c r="K49" s="6" t="s">
        <v>34</v>
      </c>
      <c r="L49" s="6" t="s">
        <v>20</v>
      </c>
      <c r="M49" s="4" t="s">
        <v>21</v>
      </c>
      <c r="N49" s="9" t="s">
        <v>766</v>
      </c>
    </row>
    <row r="50" spans="1:14" ht="145" customHeight="1">
      <c r="A50" s="5">
        <v>49</v>
      </c>
      <c r="B50" s="10" t="s">
        <v>177</v>
      </c>
      <c r="C50" s="6" t="s">
        <v>177</v>
      </c>
      <c r="D50" s="6" t="s">
        <v>54</v>
      </c>
      <c r="E50" s="6" t="s">
        <v>182</v>
      </c>
      <c r="F50" s="6" t="s">
        <v>186</v>
      </c>
      <c r="G50" s="6" t="s">
        <v>41</v>
      </c>
      <c r="H50" s="6" t="s">
        <v>817</v>
      </c>
      <c r="I50" s="6" t="s">
        <v>56</v>
      </c>
      <c r="J50" s="6" t="s">
        <v>187</v>
      </c>
      <c r="K50" s="6" t="s">
        <v>34</v>
      </c>
      <c r="L50" s="6" t="s">
        <v>20</v>
      </c>
      <c r="M50" s="4" t="s">
        <v>21</v>
      </c>
      <c r="N50" s="9" t="s">
        <v>766</v>
      </c>
    </row>
    <row r="51" spans="1:14" ht="130.5" customHeight="1">
      <c r="A51" s="5">
        <v>50</v>
      </c>
      <c r="B51" s="10" t="s">
        <v>188</v>
      </c>
      <c r="C51" s="6" t="s">
        <v>188</v>
      </c>
      <c r="D51" s="6" t="s">
        <v>189</v>
      </c>
      <c r="E51" s="6" t="s">
        <v>55</v>
      </c>
      <c r="F51" s="6" t="s">
        <v>190</v>
      </c>
      <c r="G51" s="8" t="s">
        <v>41</v>
      </c>
      <c r="H51" s="6" t="s">
        <v>818</v>
      </c>
      <c r="I51" s="6" t="s">
        <v>17</v>
      </c>
      <c r="J51" s="6" t="s">
        <v>191</v>
      </c>
      <c r="K51" s="6" t="s">
        <v>19</v>
      </c>
      <c r="L51" s="6" t="s">
        <v>20</v>
      </c>
      <c r="M51" s="4" t="s">
        <v>380</v>
      </c>
      <c r="N51" s="9" t="s">
        <v>766</v>
      </c>
    </row>
    <row r="52" spans="1:14" ht="130.5" customHeight="1">
      <c r="A52" s="5">
        <v>51</v>
      </c>
      <c r="B52" s="10" t="s">
        <v>643</v>
      </c>
      <c r="C52" s="6" t="s">
        <v>66</v>
      </c>
      <c r="D52" s="6" t="s">
        <v>116</v>
      </c>
      <c r="E52" s="6" t="s">
        <v>39</v>
      </c>
      <c r="F52" s="6" t="s">
        <v>192</v>
      </c>
      <c r="G52" s="8" t="s">
        <v>16</v>
      </c>
      <c r="H52" s="6" t="s">
        <v>819</v>
      </c>
      <c r="I52" s="6" t="s">
        <v>50</v>
      </c>
      <c r="J52" s="6" t="s">
        <v>820</v>
      </c>
      <c r="K52" s="6" t="s">
        <v>19</v>
      </c>
      <c r="L52" s="6" t="s">
        <v>20</v>
      </c>
      <c r="M52" s="4" t="s">
        <v>43</v>
      </c>
      <c r="N52" s="9" t="s">
        <v>766</v>
      </c>
    </row>
    <row r="53" spans="1:14" ht="174" customHeight="1">
      <c r="A53" s="5">
        <v>52</v>
      </c>
      <c r="B53" s="10" t="s">
        <v>193</v>
      </c>
      <c r="C53" s="6" t="s">
        <v>194</v>
      </c>
      <c r="D53" s="6" t="s">
        <v>85</v>
      </c>
      <c r="E53" s="6" t="s">
        <v>197</v>
      </c>
      <c r="F53" s="6" t="s">
        <v>217</v>
      </c>
      <c r="G53" s="8" t="s">
        <v>16</v>
      </c>
      <c r="H53" s="16" t="s">
        <v>821</v>
      </c>
      <c r="I53" s="6" t="s">
        <v>17</v>
      </c>
      <c r="J53" s="6" t="s">
        <v>198</v>
      </c>
      <c r="K53" s="6" t="s">
        <v>19</v>
      </c>
      <c r="L53" s="6" t="s">
        <v>20</v>
      </c>
      <c r="M53" s="4" t="s">
        <v>36</v>
      </c>
      <c r="N53" s="9" t="s">
        <v>766</v>
      </c>
    </row>
    <row r="54" spans="1:14" ht="160">
      <c r="A54" s="5">
        <v>53</v>
      </c>
      <c r="B54" s="10" t="s">
        <v>355</v>
      </c>
      <c r="C54" s="6" t="s">
        <v>195</v>
      </c>
      <c r="D54" s="6" t="s">
        <v>196</v>
      </c>
      <c r="E54" s="6" t="s">
        <v>127</v>
      </c>
      <c r="F54" s="6" t="s">
        <v>217</v>
      </c>
      <c r="G54" s="8" t="s">
        <v>16</v>
      </c>
      <c r="H54" s="6" t="s">
        <v>822</v>
      </c>
      <c r="I54" s="6" t="s">
        <v>50</v>
      </c>
      <c r="J54" s="6" t="s">
        <v>199</v>
      </c>
      <c r="K54" s="6" t="s">
        <v>19</v>
      </c>
      <c r="L54" s="6" t="s">
        <v>20</v>
      </c>
      <c r="M54" s="4" t="s">
        <v>381</v>
      </c>
      <c r="N54" s="9" t="s">
        <v>766</v>
      </c>
    </row>
    <row r="55" spans="1:14" ht="130.5" customHeight="1">
      <c r="A55" s="5">
        <v>54</v>
      </c>
      <c r="B55" s="10" t="s">
        <v>644</v>
      </c>
      <c r="C55" s="6" t="s">
        <v>200</v>
      </c>
      <c r="D55" s="6" t="s">
        <v>201</v>
      </c>
      <c r="E55" s="6" t="s">
        <v>203</v>
      </c>
      <c r="F55" s="6" t="s">
        <v>217</v>
      </c>
      <c r="G55" s="8" t="s">
        <v>16</v>
      </c>
      <c r="H55" s="6" t="s">
        <v>823</v>
      </c>
      <c r="I55" s="6" t="s">
        <v>50</v>
      </c>
      <c r="J55" s="6" t="s">
        <v>824</v>
      </c>
      <c r="K55" s="6" t="s">
        <v>19</v>
      </c>
      <c r="L55" s="6" t="s">
        <v>20</v>
      </c>
      <c r="M55" s="4" t="s">
        <v>36</v>
      </c>
      <c r="N55" s="9" t="s">
        <v>766</v>
      </c>
    </row>
    <row r="56" spans="1:14" ht="116" customHeight="1">
      <c r="A56" s="5">
        <v>55</v>
      </c>
      <c r="B56" s="10" t="s">
        <v>645</v>
      </c>
      <c r="C56" s="6" t="s">
        <v>200</v>
      </c>
      <c r="D56" s="6" t="s">
        <v>202</v>
      </c>
      <c r="E56" s="6" t="s">
        <v>205</v>
      </c>
      <c r="F56" s="6" t="s">
        <v>217</v>
      </c>
      <c r="G56" s="8" t="s">
        <v>16</v>
      </c>
      <c r="H56" s="6" t="s">
        <v>825</v>
      </c>
      <c r="I56" s="6" t="s">
        <v>50</v>
      </c>
      <c r="J56" s="6" t="s">
        <v>824</v>
      </c>
      <c r="K56" s="6" t="s">
        <v>19</v>
      </c>
      <c r="L56" s="6" t="s">
        <v>20</v>
      </c>
      <c r="M56" s="4" t="s">
        <v>36</v>
      </c>
      <c r="N56" s="9" t="s">
        <v>766</v>
      </c>
    </row>
    <row r="57" spans="1:14" ht="176">
      <c r="A57" s="5">
        <v>56</v>
      </c>
      <c r="B57" s="10" t="s">
        <v>355</v>
      </c>
      <c r="C57" s="6" t="s">
        <v>45</v>
      </c>
      <c r="D57" s="6" t="s">
        <v>196</v>
      </c>
      <c r="E57" s="6" t="s">
        <v>86</v>
      </c>
      <c r="F57" s="6" t="s">
        <v>217</v>
      </c>
      <c r="G57" s="8" t="s">
        <v>16</v>
      </c>
      <c r="H57" s="6" t="s">
        <v>826</v>
      </c>
      <c r="I57" s="6" t="s">
        <v>50</v>
      </c>
      <c r="J57" s="6" t="s">
        <v>199</v>
      </c>
      <c r="K57" s="6" t="s">
        <v>19</v>
      </c>
      <c r="L57" s="6" t="s">
        <v>20</v>
      </c>
      <c r="M57" s="4" t="s">
        <v>381</v>
      </c>
      <c r="N57" s="9" t="s">
        <v>766</v>
      </c>
    </row>
    <row r="58" spans="1:14" ht="160">
      <c r="A58" s="5">
        <v>57</v>
      </c>
      <c r="B58" s="10" t="s">
        <v>206</v>
      </c>
      <c r="C58" s="6" t="s">
        <v>194</v>
      </c>
      <c r="D58" s="6" t="s">
        <v>207</v>
      </c>
      <c r="E58" s="6" t="s">
        <v>209</v>
      </c>
      <c r="F58" s="6" t="s">
        <v>210</v>
      </c>
      <c r="G58" s="8" t="s">
        <v>16</v>
      </c>
      <c r="H58" s="16" t="s">
        <v>211</v>
      </c>
      <c r="I58" s="6" t="s">
        <v>50</v>
      </c>
      <c r="J58" s="6" t="s">
        <v>198</v>
      </c>
      <c r="K58" s="6" t="s">
        <v>19</v>
      </c>
      <c r="L58" s="6" t="s">
        <v>20</v>
      </c>
      <c r="M58" s="4" t="s">
        <v>43</v>
      </c>
      <c r="N58" s="9" t="s">
        <v>766</v>
      </c>
    </row>
    <row r="59" spans="1:14" ht="144">
      <c r="A59" s="5">
        <v>58</v>
      </c>
      <c r="B59" s="10" t="s">
        <v>193</v>
      </c>
      <c r="C59" s="6" t="s">
        <v>194</v>
      </c>
      <c r="D59" s="6" t="s">
        <v>168</v>
      </c>
      <c r="E59" s="6" t="s">
        <v>209</v>
      </c>
      <c r="F59" s="6" t="s">
        <v>217</v>
      </c>
      <c r="G59" s="8" t="s">
        <v>16</v>
      </c>
      <c r="H59" s="16" t="s">
        <v>212</v>
      </c>
      <c r="I59" s="6" t="s">
        <v>50</v>
      </c>
      <c r="J59" s="6" t="s">
        <v>198</v>
      </c>
      <c r="K59" s="6" t="s">
        <v>19</v>
      </c>
      <c r="L59" s="6" t="s">
        <v>20</v>
      </c>
      <c r="M59" s="4" t="s">
        <v>36</v>
      </c>
      <c r="N59" s="9" t="s">
        <v>766</v>
      </c>
    </row>
    <row r="60" spans="1:14" ht="159.5" customHeight="1">
      <c r="A60" s="5">
        <v>59</v>
      </c>
      <c r="B60" s="10" t="s">
        <v>356</v>
      </c>
      <c r="C60" s="6" t="s">
        <v>72</v>
      </c>
      <c r="D60" s="6" t="s">
        <v>208</v>
      </c>
      <c r="E60" s="6" t="s">
        <v>168</v>
      </c>
      <c r="F60" s="6" t="s">
        <v>354</v>
      </c>
      <c r="G60" s="8" t="s">
        <v>16</v>
      </c>
      <c r="H60" s="6" t="s">
        <v>827</v>
      </c>
      <c r="I60" s="6" t="s">
        <v>50</v>
      </c>
      <c r="J60" s="6" t="s">
        <v>213</v>
      </c>
      <c r="K60" s="6" t="s">
        <v>19</v>
      </c>
      <c r="L60" s="6" t="s">
        <v>20</v>
      </c>
      <c r="M60" s="4" t="s">
        <v>43</v>
      </c>
      <c r="N60" s="9" t="s">
        <v>766</v>
      </c>
    </row>
    <row r="61" spans="1:14" ht="130.5" customHeight="1">
      <c r="A61" s="5">
        <v>60</v>
      </c>
      <c r="B61" s="10" t="s">
        <v>646</v>
      </c>
      <c r="C61" s="6" t="s">
        <v>214</v>
      </c>
      <c r="D61" s="6" t="s">
        <v>215</v>
      </c>
      <c r="E61" s="6" t="s">
        <v>216</v>
      </c>
      <c r="F61" s="8" t="s">
        <v>217</v>
      </c>
      <c r="G61" s="8" t="s">
        <v>41</v>
      </c>
      <c r="H61" s="6" t="s">
        <v>828</v>
      </c>
      <c r="I61" s="6" t="s">
        <v>218</v>
      </c>
      <c r="J61" s="6" t="s">
        <v>219</v>
      </c>
      <c r="K61" s="6" t="s">
        <v>19</v>
      </c>
      <c r="L61" s="8" t="s">
        <v>20</v>
      </c>
      <c r="M61" s="8" t="s">
        <v>43</v>
      </c>
      <c r="N61" s="9" t="s">
        <v>768</v>
      </c>
    </row>
    <row r="62" spans="1:14" ht="64">
      <c r="A62" s="5">
        <v>61</v>
      </c>
      <c r="B62" s="10" t="s">
        <v>220</v>
      </c>
      <c r="C62" s="6" t="s">
        <v>220</v>
      </c>
      <c r="D62" s="6" t="s">
        <v>221</v>
      </c>
      <c r="E62" s="6" t="s">
        <v>650</v>
      </c>
      <c r="F62" s="8" t="s">
        <v>217</v>
      </c>
      <c r="G62" s="8" t="s">
        <v>16</v>
      </c>
      <c r="H62" s="6" t="s">
        <v>829</v>
      </c>
      <c r="I62" s="8" t="s">
        <v>222</v>
      </c>
      <c r="J62" s="6" t="s">
        <v>223</v>
      </c>
      <c r="K62" s="6" t="s">
        <v>19</v>
      </c>
      <c r="L62" s="8" t="s">
        <v>20</v>
      </c>
      <c r="M62" s="8" t="s">
        <v>43</v>
      </c>
      <c r="N62" s="9" t="s">
        <v>768</v>
      </c>
    </row>
    <row r="63" spans="1:14" ht="64">
      <c r="A63" s="5">
        <v>62</v>
      </c>
      <c r="B63" s="10" t="s">
        <v>224</v>
      </c>
      <c r="C63" s="6" t="s">
        <v>225</v>
      </c>
      <c r="D63" s="6" t="s">
        <v>226</v>
      </c>
      <c r="E63" s="6" t="s">
        <v>227</v>
      </c>
      <c r="F63" s="8" t="s">
        <v>217</v>
      </c>
      <c r="G63" s="8" t="s">
        <v>16</v>
      </c>
      <c r="H63" s="6" t="s">
        <v>228</v>
      </c>
      <c r="I63" s="8" t="s">
        <v>222</v>
      </c>
      <c r="J63" s="8" t="s">
        <v>229</v>
      </c>
      <c r="K63" s="6" t="s">
        <v>19</v>
      </c>
      <c r="L63" s="8" t="s">
        <v>20</v>
      </c>
      <c r="M63" s="8" t="s">
        <v>43</v>
      </c>
      <c r="N63" s="9" t="s">
        <v>768</v>
      </c>
    </row>
    <row r="64" spans="1:14" ht="64">
      <c r="A64" s="5">
        <v>63</v>
      </c>
      <c r="B64" s="10" t="s">
        <v>230</v>
      </c>
      <c r="C64" s="6" t="s">
        <v>231</v>
      </c>
      <c r="D64" s="6" t="s">
        <v>232</v>
      </c>
      <c r="E64" s="6" t="s">
        <v>233</v>
      </c>
      <c r="F64" s="8" t="s">
        <v>217</v>
      </c>
      <c r="G64" s="8" t="s">
        <v>16</v>
      </c>
      <c r="H64" s="6" t="s">
        <v>830</v>
      </c>
      <c r="I64" s="8" t="s">
        <v>222</v>
      </c>
      <c r="J64" s="8" t="s">
        <v>234</v>
      </c>
      <c r="K64" s="6" t="s">
        <v>19</v>
      </c>
      <c r="L64" s="8" t="s">
        <v>20</v>
      </c>
      <c r="M64" s="8" t="s">
        <v>43</v>
      </c>
      <c r="N64" s="9" t="s">
        <v>768</v>
      </c>
    </row>
    <row r="65" spans="1:14" ht="87" customHeight="1">
      <c r="A65" s="5">
        <v>64</v>
      </c>
      <c r="B65" s="10" t="s">
        <v>235</v>
      </c>
      <c r="C65" s="6" t="s">
        <v>235</v>
      </c>
      <c r="D65" s="6" t="s">
        <v>236</v>
      </c>
      <c r="E65" s="6" t="s">
        <v>237</v>
      </c>
      <c r="F65" s="8" t="s">
        <v>238</v>
      </c>
      <c r="G65" s="8" t="s">
        <v>41</v>
      </c>
      <c r="H65" s="6" t="s">
        <v>239</v>
      </c>
      <c r="I65" s="8" t="s">
        <v>222</v>
      </c>
      <c r="J65" s="8" t="s">
        <v>240</v>
      </c>
      <c r="K65" s="6" t="s">
        <v>19</v>
      </c>
      <c r="L65" s="8" t="s">
        <v>20</v>
      </c>
      <c r="M65" s="8" t="s">
        <v>43</v>
      </c>
      <c r="N65" s="9" t="s">
        <v>768</v>
      </c>
    </row>
    <row r="66" spans="1:14" ht="128">
      <c r="A66" s="5">
        <v>65</v>
      </c>
      <c r="B66" s="10" t="s">
        <v>70</v>
      </c>
      <c r="C66" s="6" t="s">
        <v>70</v>
      </c>
      <c r="D66" s="6" t="s">
        <v>241</v>
      </c>
      <c r="E66" s="6" t="s">
        <v>242</v>
      </c>
      <c r="F66" s="8" t="s">
        <v>217</v>
      </c>
      <c r="G66" s="8" t="s">
        <v>41</v>
      </c>
      <c r="H66" s="6" t="s">
        <v>831</v>
      </c>
      <c r="I66" s="8" t="s">
        <v>222</v>
      </c>
      <c r="J66" s="8" t="s">
        <v>243</v>
      </c>
      <c r="K66" s="6" t="s">
        <v>19</v>
      </c>
      <c r="L66" s="8" t="s">
        <v>20</v>
      </c>
      <c r="M66" s="8" t="s">
        <v>43</v>
      </c>
      <c r="N66" s="9" t="s">
        <v>768</v>
      </c>
    </row>
    <row r="67" spans="1:14" ht="203" customHeight="1">
      <c r="A67" s="5">
        <v>66</v>
      </c>
      <c r="B67" s="10" t="s">
        <v>244</v>
      </c>
      <c r="C67" s="6" t="s">
        <v>245</v>
      </c>
      <c r="D67" s="6" t="s">
        <v>246</v>
      </c>
      <c r="E67" s="6" t="s">
        <v>247</v>
      </c>
      <c r="F67" s="6" t="s">
        <v>248</v>
      </c>
      <c r="G67" s="8" t="s">
        <v>41</v>
      </c>
      <c r="H67" s="6" t="s">
        <v>832</v>
      </c>
      <c r="I67" s="6" t="s">
        <v>332</v>
      </c>
      <c r="J67" s="8" t="s">
        <v>249</v>
      </c>
      <c r="K67" s="6" t="s">
        <v>19</v>
      </c>
      <c r="L67" s="8" t="s">
        <v>20</v>
      </c>
      <c r="M67" s="8" t="s">
        <v>43</v>
      </c>
      <c r="N67" s="9" t="s">
        <v>378</v>
      </c>
    </row>
    <row r="68" spans="1:14" ht="188.5" customHeight="1">
      <c r="A68" s="5">
        <v>67</v>
      </c>
      <c r="B68" s="10" t="s">
        <v>250</v>
      </c>
      <c r="C68" s="6" t="s">
        <v>250</v>
      </c>
      <c r="D68" s="6" t="s">
        <v>324</v>
      </c>
      <c r="E68" s="6" t="s">
        <v>251</v>
      </c>
      <c r="F68" s="6" t="s">
        <v>217</v>
      </c>
      <c r="G68" s="6" t="s">
        <v>41</v>
      </c>
      <c r="H68" s="6" t="s">
        <v>325</v>
      </c>
      <c r="I68" s="6" t="s">
        <v>222</v>
      </c>
      <c r="J68" s="8" t="s">
        <v>252</v>
      </c>
      <c r="K68" s="6" t="s">
        <v>250</v>
      </c>
      <c r="L68" s="8" t="s">
        <v>20</v>
      </c>
      <c r="M68" s="8" t="s">
        <v>36</v>
      </c>
      <c r="N68" s="9" t="s">
        <v>768</v>
      </c>
    </row>
    <row r="69" spans="1:14" ht="116" customHeight="1">
      <c r="A69" s="5">
        <v>68</v>
      </c>
      <c r="B69" s="10" t="s">
        <v>253</v>
      </c>
      <c r="C69" s="6" t="s">
        <v>79</v>
      </c>
      <c r="D69" s="6" t="s">
        <v>254</v>
      </c>
      <c r="E69" s="6" t="s">
        <v>255</v>
      </c>
      <c r="F69" s="8" t="s">
        <v>256</v>
      </c>
      <c r="G69" s="6" t="s">
        <v>41</v>
      </c>
      <c r="H69" s="6" t="s">
        <v>257</v>
      </c>
      <c r="I69" s="6" t="s">
        <v>332</v>
      </c>
      <c r="J69" s="6" t="s">
        <v>833</v>
      </c>
      <c r="K69" s="6" t="s">
        <v>19</v>
      </c>
      <c r="L69" s="8" t="s">
        <v>20</v>
      </c>
      <c r="M69" s="8" t="s">
        <v>43</v>
      </c>
      <c r="N69" s="9" t="s">
        <v>377</v>
      </c>
    </row>
    <row r="70" spans="1:14" ht="116" customHeight="1">
      <c r="A70" s="5">
        <v>69</v>
      </c>
      <c r="B70" s="10" t="s">
        <v>253</v>
      </c>
      <c r="C70" s="6" t="s">
        <v>79</v>
      </c>
      <c r="D70" s="6" t="s">
        <v>251</v>
      </c>
      <c r="E70" s="6" t="s">
        <v>247</v>
      </c>
      <c r="F70" s="8" t="s">
        <v>259</v>
      </c>
      <c r="G70" s="6" t="s">
        <v>41</v>
      </c>
      <c r="H70" s="6" t="s">
        <v>260</v>
      </c>
      <c r="I70" s="6" t="s">
        <v>332</v>
      </c>
      <c r="J70" s="6" t="s">
        <v>833</v>
      </c>
      <c r="K70" s="6" t="s">
        <v>19</v>
      </c>
      <c r="L70" s="8" t="s">
        <v>20</v>
      </c>
      <c r="M70" s="8" t="s">
        <v>43</v>
      </c>
      <c r="N70" s="9" t="s">
        <v>377</v>
      </c>
    </row>
    <row r="71" spans="1:14" ht="96">
      <c r="A71" s="5">
        <v>70</v>
      </c>
      <c r="B71" s="10" t="s">
        <v>194</v>
      </c>
      <c r="C71" s="6" t="s">
        <v>261</v>
      </c>
      <c r="D71" s="6" t="s">
        <v>262</v>
      </c>
      <c r="E71" s="6" t="s">
        <v>254</v>
      </c>
      <c r="F71" s="6" t="s">
        <v>263</v>
      </c>
      <c r="G71" s="6" t="s">
        <v>16</v>
      </c>
      <c r="H71" s="6" t="s">
        <v>834</v>
      </c>
      <c r="I71" s="6" t="s">
        <v>222</v>
      </c>
      <c r="J71" s="8" t="s">
        <v>264</v>
      </c>
      <c r="K71" s="6" t="s">
        <v>19</v>
      </c>
      <c r="L71" s="8" t="s">
        <v>20</v>
      </c>
      <c r="M71" s="8" t="s">
        <v>21</v>
      </c>
      <c r="N71" s="9" t="s">
        <v>768</v>
      </c>
    </row>
    <row r="72" spans="1:14" ht="174" customHeight="1">
      <c r="A72" s="5">
        <v>71</v>
      </c>
      <c r="B72" s="3" t="s">
        <v>357</v>
      </c>
      <c r="C72" s="9" t="s">
        <v>317</v>
      </c>
      <c r="D72" s="9" t="s">
        <v>85</v>
      </c>
      <c r="E72" s="9" t="s">
        <v>302</v>
      </c>
      <c r="F72" s="4" t="s">
        <v>303</v>
      </c>
      <c r="G72" s="4" t="s">
        <v>16</v>
      </c>
      <c r="H72" s="16" t="s">
        <v>835</v>
      </c>
      <c r="I72" s="9" t="s">
        <v>17</v>
      </c>
      <c r="J72" s="4" t="s">
        <v>304</v>
      </c>
      <c r="K72" s="9" t="s">
        <v>19</v>
      </c>
      <c r="L72" s="4" t="s">
        <v>20</v>
      </c>
      <c r="M72" s="18" t="s">
        <v>380</v>
      </c>
      <c r="N72" s="9" t="s">
        <v>377</v>
      </c>
    </row>
    <row r="73" spans="1:14" ht="208">
      <c r="A73" s="5">
        <v>72</v>
      </c>
      <c r="B73" s="11" t="s">
        <v>358</v>
      </c>
      <c r="C73" s="9" t="s">
        <v>318</v>
      </c>
      <c r="D73" s="9" t="s">
        <v>91</v>
      </c>
      <c r="E73" s="9" t="s">
        <v>305</v>
      </c>
      <c r="F73" s="4" t="s">
        <v>323</v>
      </c>
      <c r="G73" s="4" t="s">
        <v>16</v>
      </c>
      <c r="H73" s="16" t="s">
        <v>836</v>
      </c>
      <c r="I73" s="4" t="s">
        <v>50</v>
      </c>
      <c r="J73" s="4" t="s">
        <v>306</v>
      </c>
      <c r="K73" s="9" t="s">
        <v>19</v>
      </c>
      <c r="L73" s="4" t="s">
        <v>20</v>
      </c>
      <c r="M73" s="18" t="s">
        <v>43</v>
      </c>
      <c r="N73" s="7" t="s">
        <v>377</v>
      </c>
    </row>
    <row r="74" spans="1:14" ht="130.5" customHeight="1">
      <c r="A74" s="5">
        <v>73</v>
      </c>
      <c r="B74" s="3" t="s">
        <v>359</v>
      </c>
      <c r="C74" s="9" t="s">
        <v>319</v>
      </c>
      <c r="D74" s="9" t="s">
        <v>307</v>
      </c>
      <c r="E74" s="9" t="s">
        <v>302</v>
      </c>
      <c r="F74" s="4" t="s">
        <v>308</v>
      </c>
      <c r="G74" s="4" t="s">
        <v>16</v>
      </c>
      <c r="H74" s="16" t="s">
        <v>837</v>
      </c>
      <c r="I74" s="4" t="s">
        <v>50</v>
      </c>
      <c r="J74" s="4" t="s">
        <v>309</v>
      </c>
      <c r="K74" s="9" t="s">
        <v>19</v>
      </c>
      <c r="L74" s="4" t="s">
        <v>35</v>
      </c>
      <c r="M74" s="18" t="s">
        <v>43</v>
      </c>
      <c r="N74" s="7" t="s">
        <v>377</v>
      </c>
    </row>
    <row r="75" spans="1:14" ht="174" customHeight="1">
      <c r="A75" s="5">
        <v>74</v>
      </c>
      <c r="B75" s="3" t="s">
        <v>357</v>
      </c>
      <c r="C75" s="9" t="s">
        <v>320</v>
      </c>
      <c r="D75" s="9" t="s">
        <v>85</v>
      </c>
      <c r="E75" s="9" t="s">
        <v>302</v>
      </c>
      <c r="F75" s="4" t="s">
        <v>303</v>
      </c>
      <c r="G75" s="4" t="s">
        <v>16</v>
      </c>
      <c r="H75" s="16" t="s">
        <v>835</v>
      </c>
      <c r="I75" s="9" t="s">
        <v>17</v>
      </c>
      <c r="J75" s="4" t="s">
        <v>304</v>
      </c>
      <c r="K75" s="9" t="s">
        <v>19</v>
      </c>
      <c r="L75" s="4" t="s">
        <v>20</v>
      </c>
      <c r="M75" s="19" t="s">
        <v>43</v>
      </c>
      <c r="N75" s="7" t="s">
        <v>377</v>
      </c>
    </row>
    <row r="76" spans="1:14" ht="130.5" customHeight="1">
      <c r="A76" s="5">
        <v>75</v>
      </c>
      <c r="B76" s="3" t="s">
        <v>44</v>
      </c>
      <c r="C76" s="9" t="s">
        <v>321</v>
      </c>
      <c r="D76" s="9" t="s">
        <v>92</v>
      </c>
      <c r="E76" s="9" t="s">
        <v>310</v>
      </c>
      <c r="F76" s="4" t="s">
        <v>311</v>
      </c>
      <c r="G76" s="4" t="s">
        <v>16</v>
      </c>
      <c r="H76" s="16" t="s">
        <v>312</v>
      </c>
      <c r="I76" s="4" t="s">
        <v>50</v>
      </c>
      <c r="J76" s="4" t="s">
        <v>304</v>
      </c>
      <c r="K76" s="9" t="s">
        <v>19</v>
      </c>
      <c r="L76" s="4" t="s">
        <v>20</v>
      </c>
      <c r="M76" s="18" t="s">
        <v>380</v>
      </c>
      <c r="N76" s="7" t="s">
        <v>377</v>
      </c>
    </row>
    <row r="77" spans="1:14" ht="128">
      <c r="A77" s="5">
        <v>76</v>
      </c>
      <c r="B77" s="3" t="s">
        <v>52</v>
      </c>
      <c r="C77" s="9" t="s">
        <v>322</v>
      </c>
      <c r="D77" s="9" t="s">
        <v>54</v>
      </c>
      <c r="E77" s="9" t="s">
        <v>313</v>
      </c>
      <c r="F77" s="4" t="s">
        <v>314</v>
      </c>
      <c r="G77" s="4" t="s">
        <v>16</v>
      </c>
      <c r="H77" s="6" t="s">
        <v>838</v>
      </c>
      <c r="I77" s="4" t="s">
        <v>50</v>
      </c>
      <c r="J77" s="4" t="s">
        <v>315</v>
      </c>
      <c r="K77" s="9" t="s">
        <v>19</v>
      </c>
      <c r="L77" s="4" t="s">
        <v>20</v>
      </c>
      <c r="M77" s="19" t="s">
        <v>43</v>
      </c>
      <c r="N77" s="7" t="s">
        <v>377</v>
      </c>
    </row>
    <row r="78" spans="1:14" ht="144">
      <c r="A78" s="5">
        <v>77</v>
      </c>
      <c r="B78" s="3" t="s">
        <v>52</v>
      </c>
      <c r="C78" s="9" t="s">
        <v>322</v>
      </c>
      <c r="D78" s="9" t="s">
        <v>54</v>
      </c>
      <c r="E78" s="9" t="s">
        <v>316</v>
      </c>
      <c r="F78" s="4" t="s">
        <v>314</v>
      </c>
      <c r="G78" s="4" t="s">
        <v>16</v>
      </c>
      <c r="H78" s="6" t="s">
        <v>839</v>
      </c>
      <c r="I78" s="4" t="s">
        <v>50</v>
      </c>
      <c r="J78" s="4" t="s">
        <v>315</v>
      </c>
      <c r="K78" s="9" t="s">
        <v>19</v>
      </c>
      <c r="L78" s="4" t="s">
        <v>20</v>
      </c>
      <c r="M78" s="19" t="s">
        <v>43</v>
      </c>
      <c r="N78" s="7" t="s">
        <v>377</v>
      </c>
    </row>
    <row r="79" spans="1:14" ht="112">
      <c r="A79" s="5">
        <v>78</v>
      </c>
      <c r="B79" s="3" t="s">
        <v>265</v>
      </c>
      <c r="C79" s="9" t="s">
        <v>265</v>
      </c>
      <c r="D79" s="9" t="s">
        <v>266</v>
      </c>
      <c r="E79" s="9" t="s">
        <v>267</v>
      </c>
      <c r="F79" s="9" t="s">
        <v>268</v>
      </c>
      <c r="G79" s="4" t="s">
        <v>41</v>
      </c>
      <c r="H79" s="9" t="s">
        <v>840</v>
      </c>
      <c r="I79" s="9" t="s">
        <v>17</v>
      </c>
      <c r="J79" s="9" t="s">
        <v>269</v>
      </c>
      <c r="K79" s="9" t="s">
        <v>34</v>
      </c>
      <c r="L79" s="4" t="s">
        <v>20</v>
      </c>
      <c r="M79" s="4" t="s">
        <v>36</v>
      </c>
      <c r="N79" s="7" t="s">
        <v>766</v>
      </c>
    </row>
    <row r="80" spans="1:14" ht="130.5" customHeight="1">
      <c r="A80" s="5">
        <v>79</v>
      </c>
      <c r="B80" s="3" t="s">
        <v>265</v>
      </c>
      <c r="C80" s="9" t="s">
        <v>265</v>
      </c>
      <c r="D80" s="9" t="s">
        <v>270</v>
      </c>
      <c r="E80" s="9" t="s">
        <v>29</v>
      </c>
      <c r="F80" s="15" t="s">
        <v>271</v>
      </c>
      <c r="G80" s="4" t="s">
        <v>41</v>
      </c>
      <c r="H80" s="9" t="s">
        <v>272</v>
      </c>
      <c r="I80" s="9" t="s">
        <v>17</v>
      </c>
      <c r="J80" s="9" t="s">
        <v>269</v>
      </c>
      <c r="K80" s="9" t="s">
        <v>34</v>
      </c>
      <c r="L80" s="4" t="s">
        <v>20</v>
      </c>
      <c r="M80" s="4" t="s">
        <v>36</v>
      </c>
      <c r="N80" s="7" t="s">
        <v>766</v>
      </c>
    </row>
    <row r="81" spans="1:14" ht="130.5" customHeight="1">
      <c r="A81" s="5">
        <v>80</v>
      </c>
      <c r="B81" s="3" t="s">
        <v>360</v>
      </c>
      <c r="C81" s="9" t="s">
        <v>273</v>
      </c>
      <c r="D81" s="9" t="s">
        <v>270</v>
      </c>
      <c r="E81" s="9" t="s">
        <v>29</v>
      </c>
      <c r="F81" s="9" t="s">
        <v>274</v>
      </c>
      <c r="G81" s="4" t="s">
        <v>41</v>
      </c>
      <c r="H81" s="9" t="s">
        <v>275</v>
      </c>
      <c r="I81" s="9" t="s">
        <v>17</v>
      </c>
      <c r="J81" s="9" t="s">
        <v>276</v>
      </c>
      <c r="K81" s="9" t="s">
        <v>34</v>
      </c>
      <c r="L81" s="4" t="s">
        <v>20</v>
      </c>
      <c r="M81" s="4" t="s">
        <v>36</v>
      </c>
      <c r="N81" s="7" t="s">
        <v>766</v>
      </c>
    </row>
    <row r="82" spans="1:14" ht="159.5" customHeight="1">
      <c r="A82" s="5">
        <v>81</v>
      </c>
      <c r="B82" s="3" t="s">
        <v>647</v>
      </c>
      <c r="C82" s="9" t="s">
        <v>277</v>
      </c>
      <c r="D82" s="9" t="s">
        <v>278</v>
      </c>
      <c r="E82" s="9" t="s">
        <v>246</v>
      </c>
      <c r="F82" s="6" t="s">
        <v>217</v>
      </c>
      <c r="G82" s="4" t="s">
        <v>16</v>
      </c>
      <c r="H82" s="6" t="s">
        <v>841</v>
      </c>
      <c r="I82" s="9" t="s">
        <v>17</v>
      </c>
      <c r="J82" s="9" t="s">
        <v>842</v>
      </c>
      <c r="K82" s="9" t="s">
        <v>34</v>
      </c>
      <c r="L82" s="9" t="s">
        <v>20</v>
      </c>
      <c r="M82" s="4" t="s">
        <v>36</v>
      </c>
      <c r="N82" s="7" t="s">
        <v>766</v>
      </c>
    </row>
    <row r="83" spans="1:14" ht="159.5" customHeight="1">
      <c r="A83" s="5">
        <v>82</v>
      </c>
      <c r="B83" s="3" t="s">
        <v>361</v>
      </c>
      <c r="C83" s="9" t="s">
        <v>280</v>
      </c>
      <c r="D83" s="9" t="s">
        <v>282</v>
      </c>
      <c r="E83" s="9" t="s">
        <v>254</v>
      </c>
      <c r="F83" s="9" t="s">
        <v>284</v>
      </c>
      <c r="G83" s="4" t="s">
        <v>41</v>
      </c>
      <c r="H83" s="16" t="s">
        <v>843</v>
      </c>
      <c r="I83" s="9" t="s">
        <v>17</v>
      </c>
      <c r="J83" s="9" t="s">
        <v>285</v>
      </c>
      <c r="K83" s="9" t="s">
        <v>34</v>
      </c>
      <c r="L83" s="4" t="s">
        <v>20</v>
      </c>
      <c r="M83" s="4" t="s">
        <v>43</v>
      </c>
      <c r="N83" s="7" t="s">
        <v>766</v>
      </c>
    </row>
    <row r="84" spans="1:14" ht="174" customHeight="1">
      <c r="A84" s="5">
        <v>83</v>
      </c>
      <c r="B84" s="3" t="s">
        <v>281</v>
      </c>
      <c r="C84" s="9" t="s">
        <v>74</v>
      </c>
      <c r="D84" s="9" t="s">
        <v>283</v>
      </c>
      <c r="E84" s="9" t="s">
        <v>267</v>
      </c>
      <c r="F84" s="9" t="s">
        <v>286</v>
      </c>
      <c r="G84" s="4" t="s">
        <v>41</v>
      </c>
      <c r="H84" s="6" t="s">
        <v>844</v>
      </c>
      <c r="I84" s="9" t="s">
        <v>17</v>
      </c>
      <c r="J84" s="9" t="s">
        <v>845</v>
      </c>
      <c r="K84" s="9" t="s">
        <v>34</v>
      </c>
      <c r="L84" s="9" t="s">
        <v>20</v>
      </c>
      <c r="M84" s="4" t="s">
        <v>43</v>
      </c>
      <c r="N84" s="7" t="s">
        <v>766</v>
      </c>
    </row>
    <row r="85" spans="1:14" ht="145" customHeight="1">
      <c r="A85" s="5">
        <v>84</v>
      </c>
      <c r="B85" s="3" t="s">
        <v>74</v>
      </c>
      <c r="C85" s="9" t="s">
        <v>74</v>
      </c>
      <c r="D85" s="9" t="s">
        <v>288</v>
      </c>
      <c r="E85" s="9" t="s">
        <v>267</v>
      </c>
      <c r="F85" s="9" t="s">
        <v>289</v>
      </c>
      <c r="G85" s="9" t="s">
        <v>41</v>
      </c>
      <c r="H85" s="6" t="s">
        <v>846</v>
      </c>
      <c r="I85" s="9" t="s">
        <v>50</v>
      </c>
      <c r="J85" s="9" t="s">
        <v>845</v>
      </c>
      <c r="K85" s="9" t="s">
        <v>34</v>
      </c>
      <c r="L85" s="9" t="s">
        <v>20</v>
      </c>
      <c r="M85" s="4" t="s">
        <v>43</v>
      </c>
      <c r="N85" s="7" t="s">
        <v>766</v>
      </c>
    </row>
    <row r="86" spans="1:14" ht="145" customHeight="1">
      <c r="A86" s="5">
        <v>85</v>
      </c>
      <c r="B86" s="3" t="s">
        <v>648</v>
      </c>
      <c r="C86" s="9" t="s">
        <v>277</v>
      </c>
      <c r="D86" s="9" t="s">
        <v>290</v>
      </c>
      <c r="E86" s="9" t="s">
        <v>291</v>
      </c>
      <c r="F86" s="6" t="s">
        <v>217</v>
      </c>
      <c r="G86" s="4" t="s">
        <v>16</v>
      </c>
      <c r="H86" s="6" t="s">
        <v>847</v>
      </c>
      <c r="I86" s="9" t="s">
        <v>56</v>
      </c>
      <c r="J86" s="9" t="s">
        <v>848</v>
      </c>
      <c r="K86" s="9" t="s">
        <v>34</v>
      </c>
      <c r="L86" s="9" t="s">
        <v>20</v>
      </c>
      <c r="M86" s="4" t="s">
        <v>36</v>
      </c>
      <c r="N86" s="7" t="s">
        <v>766</v>
      </c>
    </row>
    <row r="87" spans="1:14" ht="130.5" customHeight="1">
      <c r="A87" s="5">
        <v>86</v>
      </c>
      <c r="B87" s="3" t="s">
        <v>293</v>
      </c>
      <c r="C87" s="9" t="s">
        <v>293</v>
      </c>
      <c r="D87" s="9" t="s">
        <v>294</v>
      </c>
      <c r="E87" s="9" t="s">
        <v>29</v>
      </c>
      <c r="F87" s="9" t="s">
        <v>295</v>
      </c>
      <c r="G87" s="9" t="s">
        <v>41</v>
      </c>
      <c r="H87" s="6" t="s">
        <v>849</v>
      </c>
      <c r="I87" s="9" t="s">
        <v>56</v>
      </c>
      <c r="J87" s="9" t="s">
        <v>850</v>
      </c>
      <c r="K87" s="9" t="s">
        <v>34</v>
      </c>
      <c r="L87" s="9" t="s">
        <v>20</v>
      </c>
      <c r="M87" s="4" t="s">
        <v>43</v>
      </c>
      <c r="N87" s="7" t="s">
        <v>766</v>
      </c>
    </row>
    <row r="88" spans="1:14" ht="160">
      <c r="A88" s="5">
        <v>87</v>
      </c>
      <c r="B88" s="3" t="s">
        <v>361</v>
      </c>
      <c r="C88" s="9" t="s">
        <v>297</v>
      </c>
      <c r="D88" s="9" t="s">
        <v>282</v>
      </c>
      <c r="E88" s="9" t="s">
        <v>298</v>
      </c>
      <c r="F88" s="9" t="s">
        <v>284</v>
      </c>
      <c r="G88" s="4" t="s">
        <v>41</v>
      </c>
      <c r="H88" s="16" t="s">
        <v>299</v>
      </c>
      <c r="I88" s="9" t="s">
        <v>56</v>
      </c>
      <c r="J88" s="9" t="s">
        <v>285</v>
      </c>
      <c r="K88" s="9" t="s">
        <v>34</v>
      </c>
      <c r="L88" s="9" t="s">
        <v>20</v>
      </c>
      <c r="M88" s="4" t="s">
        <v>43</v>
      </c>
      <c r="N88" s="7" t="s">
        <v>766</v>
      </c>
    </row>
    <row r="89" spans="1:14" ht="145" customHeight="1">
      <c r="A89" s="5">
        <v>88</v>
      </c>
      <c r="B89" s="3" t="s">
        <v>649</v>
      </c>
      <c r="C89" s="9" t="s">
        <v>277</v>
      </c>
      <c r="D89" s="9" t="s">
        <v>278</v>
      </c>
      <c r="E89" s="9" t="s">
        <v>300</v>
      </c>
      <c r="F89" s="6" t="s">
        <v>217</v>
      </c>
      <c r="G89" s="4" t="s">
        <v>16</v>
      </c>
      <c r="H89" s="6" t="s">
        <v>301</v>
      </c>
      <c r="I89" s="9" t="s">
        <v>56</v>
      </c>
      <c r="J89" s="9" t="s">
        <v>842</v>
      </c>
      <c r="K89" s="9" t="s">
        <v>34</v>
      </c>
      <c r="L89" s="9" t="s">
        <v>20</v>
      </c>
      <c r="M89" s="4" t="s">
        <v>36</v>
      </c>
      <c r="N89" s="7" t="s">
        <v>766</v>
      </c>
    </row>
    <row r="90" spans="1:14" ht="159.5" customHeight="1">
      <c r="A90" s="5">
        <v>89</v>
      </c>
      <c r="B90" s="10" t="s">
        <v>250</v>
      </c>
      <c r="C90" s="6" t="s">
        <v>250</v>
      </c>
      <c r="D90" s="6" t="s">
        <v>326</v>
      </c>
      <c r="E90" s="6" t="s">
        <v>327</v>
      </c>
      <c r="F90" s="6" t="s">
        <v>217</v>
      </c>
      <c r="G90" s="6" t="s">
        <v>41</v>
      </c>
      <c r="H90" s="6" t="s">
        <v>851</v>
      </c>
      <c r="I90" s="6" t="s">
        <v>50</v>
      </c>
      <c r="J90" s="8" t="s">
        <v>252</v>
      </c>
      <c r="K90" s="6" t="s">
        <v>250</v>
      </c>
      <c r="L90" s="8" t="s">
        <v>20</v>
      </c>
      <c r="M90" s="8" t="s">
        <v>36</v>
      </c>
      <c r="N90" s="7" t="s">
        <v>378</v>
      </c>
    </row>
    <row r="91" spans="1:14" ht="174" customHeight="1">
      <c r="A91" s="5">
        <v>90</v>
      </c>
      <c r="B91" s="10" t="s">
        <v>250</v>
      </c>
      <c r="C91" s="6" t="s">
        <v>250</v>
      </c>
      <c r="D91" s="6" t="s">
        <v>326</v>
      </c>
      <c r="E91" s="12" t="s">
        <v>328</v>
      </c>
      <c r="F91" s="6" t="s">
        <v>329</v>
      </c>
      <c r="G91" s="6" t="s">
        <v>41</v>
      </c>
      <c r="H91" s="6" t="s">
        <v>852</v>
      </c>
      <c r="I91" s="6" t="s">
        <v>50</v>
      </c>
      <c r="J91" s="8" t="s">
        <v>252</v>
      </c>
      <c r="K91" s="6" t="s">
        <v>250</v>
      </c>
      <c r="L91" s="8" t="s">
        <v>20</v>
      </c>
      <c r="M91" s="8" t="s">
        <v>36</v>
      </c>
      <c r="N91" s="7" t="s">
        <v>378</v>
      </c>
    </row>
    <row r="92" spans="1:14" ht="32">
      <c r="A92" s="5">
        <v>91</v>
      </c>
      <c r="B92" s="10" t="s">
        <v>330</v>
      </c>
      <c r="C92" s="6" t="s">
        <v>330</v>
      </c>
      <c r="D92" s="7" t="s">
        <v>853</v>
      </c>
      <c r="E92" s="7" t="s">
        <v>853</v>
      </c>
      <c r="F92" s="7" t="s">
        <v>853</v>
      </c>
      <c r="G92" s="6" t="s">
        <v>16</v>
      </c>
      <c r="H92" s="6" t="s">
        <v>331</v>
      </c>
      <c r="I92" s="9" t="s">
        <v>332</v>
      </c>
      <c r="J92" s="6" t="s">
        <v>339</v>
      </c>
      <c r="K92" s="6" t="s">
        <v>366</v>
      </c>
      <c r="L92" s="6" t="s">
        <v>20</v>
      </c>
      <c r="M92" s="6" t="s">
        <v>21</v>
      </c>
      <c r="N92" s="7" t="s">
        <v>382</v>
      </c>
    </row>
    <row r="93" spans="1:14" s="1" customFormat="1" ht="32">
      <c r="A93" s="5">
        <v>92</v>
      </c>
      <c r="B93" s="10" t="s">
        <v>330</v>
      </c>
      <c r="C93" s="6" t="s">
        <v>330</v>
      </c>
      <c r="D93" s="7" t="s">
        <v>854</v>
      </c>
      <c r="E93" s="7" t="s">
        <v>854</v>
      </c>
      <c r="F93" s="7" t="s">
        <v>854</v>
      </c>
      <c r="G93" s="6" t="s">
        <v>16</v>
      </c>
      <c r="H93" s="6" t="s">
        <v>333</v>
      </c>
      <c r="I93" s="9" t="s">
        <v>332</v>
      </c>
      <c r="J93" s="6" t="s">
        <v>336</v>
      </c>
      <c r="K93" s="6" t="s">
        <v>366</v>
      </c>
      <c r="L93" s="6" t="s">
        <v>20</v>
      </c>
      <c r="M93" s="6" t="s">
        <v>21</v>
      </c>
      <c r="N93" s="7" t="s">
        <v>763</v>
      </c>
    </row>
    <row r="94" spans="1:14" ht="32">
      <c r="A94" s="5">
        <v>93</v>
      </c>
      <c r="B94" s="10" t="s">
        <v>334</v>
      </c>
      <c r="C94" s="6" t="s">
        <v>334</v>
      </c>
      <c r="D94" s="7" t="s">
        <v>855</v>
      </c>
      <c r="E94" s="7" t="s">
        <v>855</v>
      </c>
      <c r="F94" s="7" t="s">
        <v>855</v>
      </c>
      <c r="G94" s="6" t="s">
        <v>16</v>
      </c>
      <c r="H94" s="6" t="s">
        <v>335</v>
      </c>
      <c r="I94" s="9" t="s">
        <v>332</v>
      </c>
      <c r="J94" s="6" t="s">
        <v>337</v>
      </c>
      <c r="K94" s="6" t="s">
        <v>366</v>
      </c>
      <c r="L94" s="6" t="s">
        <v>20</v>
      </c>
      <c r="M94" s="6" t="s">
        <v>21</v>
      </c>
      <c r="N94" s="7" t="s">
        <v>764</v>
      </c>
    </row>
    <row r="95" spans="1:14" s="1" customFormat="1" ht="32">
      <c r="A95" s="5">
        <v>94</v>
      </c>
      <c r="B95" s="10" t="s">
        <v>334</v>
      </c>
      <c r="C95" s="6" t="s">
        <v>334</v>
      </c>
      <c r="D95" s="7" t="s">
        <v>856</v>
      </c>
      <c r="E95" s="7" t="s">
        <v>856</v>
      </c>
      <c r="F95" s="7" t="s">
        <v>856</v>
      </c>
      <c r="G95" s="6" t="s">
        <v>16</v>
      </c>
      <c r="H95" s="6" t="s">
        <v>338</v>
      </c>
      <c r="I95" s="9" t="s">
        <v>332</v>
      </c>
      <c r="J95" s="6" t="s">
        <v>340</v>
      </c>
      <c r="K95" s="6" t="s">
        <v>366</v>
      </c>
      <c r="L95" s="6" t="s">
        <v>20</v>
      </c>
      <c r="M95" s="6" t="s">
        <v>21</v>
      </c>
      <c r="N95" s="7" t="s">
        <v>383</v>
      </c>
    </row>
    <row r="96" spans="1:14" ht="48">
      <c r="A96" s="5">
        <v>95</v>
      </c>
      <c r="B96" s="10" t="s">
        <v>362</v>
      </c>
      <c r="C96" s="6" t="s">
        <v>341</v>
      </c>
      <c r="D96" s="7" t="s">
        <v>857</v>
      </c>
      <c r="E96" s="7" t="s">
        <v>342</v>
      </c>
      <c r="F96" s="7" t="s">
        <v>857</v>
      </c>
      <c r="G96" s="6" t="s">
        <v>16</v>
      </c>
      <c r="H96" s="6" t="s">
        <v>343</v>
      </c>
      <c r="I96" s="9" t="s">
        <v>50</v>
      </c>
      <c r="J96" s="6" t="s">
        <v>346</v>
      </c>
      <c r="K96" s="6" t="s">
        <v>367</v>
      </c>
      <c r="L96" s="6" t="s">
        <v>20</v>
      </c>
      <c r="M96" s="6" t="s">
        <v>347</v>
      </c>
      <c r="N96" s="7" t="s">
        <v>388</v>
      </c>
    </row>
    <row r="97" spans="1:14" ht="48">
      <c r="A97" s="5">
        <v>96</v>
      </c>
      <c r="B97" s="10" t="s">
        <v>363</v>
      </c>
      <c r="C97" s="6" t="s">
        <v>341</v>
      </c>
      <c r="D97" s="7" t="s">
        <v>858</v>
      </c>
      <c r="E97" s="7" t="s">
        <v>342</v>
      </c>
      <c r="F97" s="7" t="s">
        <v>858</v>
      </c>
      <c r="G97" s="6" t="s">
        <v>16</v>
      </c>
      <c r="H97" s="6" t="s">
        <v>344</v>
      </c>
      <c r="I97" s="9" t="s">
        <v>50</v>
      </c>
      <c r="J97" s="6" t="s">
        <v>345</v>
      </c>
      <c r="K97" s="6" t="s">
        <v>367</v>
      </c>
      <c r="L97" s="6" t="s">
        <v>20</v>
      </c>
      <c r="M97" s="6" t="s">
        <v>347</v>
      </c>
      <c r="N97" s="7" t="s">
        <v>388</v>
      </c>
    </row>
    <row r="98" spans="1:14" ht="96">
      <c r="A98" s="5">
        <v>97</v>
      </c>
      <c r="B98" s="10" t="s">
        <v>277</v>
      </c>
      <c r="C98" s="6" t="s">
        <v>277</v>
      </c>
      <c r="D98" s="9" t="s">
        <v>342</v>
      </c>
      <c r="E98" s="7" t="s">
        <v>859</v>
      </c>
      <c r="F98" s="7" t="s">
        <v>348</v>
      </c>
      <c r="G98" s="6" t="s">
        <v>41</v>
      </c>
      <c r="H98" s="9" t="s">
        <v>860</v>
      </c>
      <c r="I98" s="9" t="s">
        <v>50</v>
      </c>
      <c r="J98" s="4" t="s">
        <v>384</v>
      </c>
      <c r="K98" s="6" t="s">
        <v>367</v>
      </c>
      <c r="L98" s="6" t="s">
        <v>20</v>
      </c>
      <c r="M98" s="6" t="s">
        <v>36</v>
      </c>
      <c r="N98" s="7" t="s">
        <v>389</v>
      </c>
    </row>
    <row r="99" spans="1:14" ht="96">
      <c r="A99" s="5">
        <v>98</v>
      </c>
      <c r="B99" s="10" t="s">
        <v>349</v>
      </c>
      <c r="C99" s="6" t="s">
        <v>349</v>
      </c>
      <c r="D99" s="9" t="s">
        <v>342</v>
      </c>
      <c r="E99" s="7" t="s">
        <v>859</v>
      </c>
      <c r="F99" s="7" t="s">
        <v>350</v>
      </c>
      <c r="G99" s="6" t="s">
        <v>41</v>
      </c>
      <c r="H99" s="9" t="s">
        <v>861</v>
      </c>
      <c r="I99" s="6" t="s">
        <v>50</v>
      </c>
      <c r="J99" s="6" t="s">
        <v>385</v>
      </c>
      <c r="K99" s="6" t="s">
        <v>367</v>
      </c>
      <c r="L99" s="6" t="s">
        <v>20</v>
      </c>
      <c r="M99" s="6" t="s">
        <v>36</v>
      </c>
      <c r="N99" s="7" t="s">
        <v>389</v>
      </c>
    </row>
    <row r="100" spans="1:14" ht="96">
      <c r="A100" s="5">
        <v>99</v>
      </c>
      <c r="B100" s="10" t="s">
        <v>22</v>
      </c>
      <c r="C100" s="6" t="s">
        <v>22</v>
      </c>
      <c r="D100" s="9" t="s">
        <v>342</v>
      </c>
      <c r="E100" s="7" t="s">
        <v>859</v>
      </c>
      <c r="F100" s="7" t="s">
        <v>352</v>
      </c>
      <c r="G100" s="6" t="s">
        <v>41</v>
      </c>
      <c r="H100" s="9" t="s">
        <v>861</v>
      </c>
      <c r="I100" s="4" t="s">
        <v>50</v>
      </c>
      <c r="J100" s="4" t="s">
        <v>386</v>
      </c>
      <c r="K100" s="6" t="s">
        <v>367</v>
      </c>
      <c r="L100" s="4" t="s">
        <v>20</v>
      </c>
      <c r="M100" s="4" t="s">
        <v>36</v>
      </c>
      <c r="N100" s="7" t="s">
        <v>389</v>
      </c>
    </row>
    <row r="101" spans="1:14" ht="96">
      <c r="A101" s="5">
        <v>100</v>
      </c>
      <c r="B101" s="3" t="s">
        <v>351</v>
      </c>
      <c r="C101" s="6" t="s">
        <v>351</v>
      </c>
      <c r="D101" s="9" t="s">
        <v>342</v>
      </c>
      <c r="E101" s="7" t="s">
        <v>859</v>
      </c>
      <c r="F101" s="7" t="s">
        <v>353</v>
      </c>
      <c r="G101" s="6" t="s">
        <v>41</v>
      </c>
      <c r="H101" s="9" t="s">
        <v>861</v>
      </c>
      <c r="I101" s="4" t="s">
        <v>50</v>
      </c>
      <c r="J101" s="4" t="s">
        <v>387</v>
      </c>
      <c r="K101" s="6" t="s">
        <v>367</v>
      </c>
      <c r="L101" s="4" t="s">
        <v>20</v>
      </c>
      <c r="M101" s="4" t="s">
        <v>36</v>
      </c>
      <c r="N101" s="7" t="s">
        <v>389</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3CC7F-5363-43CC-BFF0-E39BB230C033}">
  <dimension ref="A1:AT107"/>
  <sheetViews>
    <sheetView tabSelected="1" zoomScale="93" zoomScaleNormal="100" workbookViewId="0">
      <pane xSplit="3" ySplit="2" topLeftCell="D10" activePane="bottomRight" state="frozen"/>
      <selection pane="topRight" activeCell="D1" sqref="D1"/>
      <selection pane="bottomLeft" activeCell="A3" sqref="A3"/>
      <selection pane="bottomRight" activeCell="I13" sqref="I13"/>
    </sheetView>
  </sheetViews>
  <sheetFormatPr baseColWidth="10" defaultColWidth="12.6640625" defaultRowHeight="15"/>
  <cols>
    <col min="1" max="1" width="12.6640625" style="4" customWidth="1"/>
    <col min="2" max="3" width="12.6640625" style="4"/>
    <col min="4" max="4" width="12.6640625" style="8"/>
    <col min="5" max="7" width="12.6640625" style="4" customWidth="1"/>
    <col min="8" max="9" width="20.1640625" style="4" customWidth="1"/>
    <col min="10" max="10" width="10.83203125" style="41" customWidth="1"/>
    <col min="11" max="11" width="20.1640625" style="4" customWidth="1"/>
    <col min="12" max="12" width="12.6640625" style="4" customWidth="1"/>
    <col min="13" max="13" width="21.83203125" style="4" customWidth="1"/>
    <col min="14" max="24" width="12.6640625" style="4" customWidth="1"/>
    <col min="25" max="27" width="24.33203125" style="4" customWidth="1"/>
    <col min="28" max="28" width="24.33203125" style="72" customWidth="1"/>
    <col min="29" max="31" width="12.6640625" style="4" customWidth="1"/>
    <col min="32" max="34" width="12.6640625" style="8" customWidth="1"/>
    <col min="35" max="35" width="40.6640625" style="8" customWidth="1"/>
    <col min="36" max="36" width="12.6640625" style="41"/>
    <col min="37" max="37" width="32.6640625" style="4" customWidth="1"/>
    <col min="38" max="38" width="37.83203125" style="69" customWidth="1"/>
    <col min="39" max="43" width="20" style="4" customWidth="1"/>
    <col min="44" max="44" width="12.6640625" customWidth="1"/>
    <col min="45" max="45" width="20" style="4" customWidth="1"/>
    <col min="46" max="16384" width="12.6640625" style="4"/>
  </cols>
  <sheetData>
    <row r="1" spans="1:46" s="35" customFormat="1" ht="153" customHeight="1">
      <c r="A1" s="34" t="s">
        <v>1152</v>
      </c>
      <c r="B1" s="80" t="s">
        <v>1151</v>
      </c>
      <c r="C1" s="80" t="s">
        <v>1</v>
      </c>
      <c r="D1" s="80" t="s">
        <v>2</v>
      </c>
      <c r="E1" s="34" t="s">
        <v>10</v>
      </c>
      <c r="F1" s="34" t="s">
        <v>9</v>
      </c>
      <c r="G1" s="80" t="s">
        <v>369</v>
      </c>
      <c r="H1" s="46" t="s">
        <v>873</v>
      </c>
      <c r="I1" s="80" t="s">
        <v>1275</v>
      </c>
      <c r="J1" s="80" t="s">
        <v>1230</v>
      </c>
      <c r="K1" s="46" t="s">
        <v>877</v>
      </c>
      <c r="L1" s="34" t="s">
        <v>370</v>
      </c>
      <c r="M1" s="34" t="s">
        <v>371</v>
      </c>
      <c r="N1" s="34" t="s">
        <v>631</v>
      </c>
      <c r="O1" s="34" t="s">
        <v>632</v>
      </c>
      <c r="P1" s="34" t="s">
        <v>633</v>
      </c>
      <c r="Q1" s="34" t="s">
        <v>634</v>
      </c>
      <c r="R1" s="80" t="s">
        <v>373</v>
      </c>
      <c r="S1" s="34" t="s">
        <v>374</v>
      </c>
      <c r="T1" s="34" t="s">
        <v>375</v>
      </c>
      <c r="U1" s="34" t="s">
        <v>635</v>
      </c>
      <c r="V1" s="34" t="s">
        <v>636</v>
      </c>
      <c r="W1" s="34" t="s">
        <v>637</v>
      </c>
      <c r="X1" s="34" t="s">
        <v>638</v>
      </c>
      <c r="Y1" s="80" t="s">
        <v>5</v>
      </c>
      <c r="Z1" s="34" t="s">
        <v>1155</v>
      </c>
      <c r="AA1" s="80" t="s">
        <v>1156</v>
      </c>
      <c r="AB1" s="75" t="s">
        <v>1236</v>
      </c>
      <c r="AC1" s="34" t="s">
        <v>769</v>
      </c>
      <c r="AD1" s="34" t="s">
        <v>765</v>
      </c>
      <c r="AE1" s="80" t="s">
        <v>6</v>
      </c>
      <c r="AF1" s="34" t="s">
        <v>8</v>
      </c>
      <c r="AG1" s="34" t="s">
        <v>372</v>
      </c>
      <c r="AH1" s="34" t="s">
        <v>390</v>
      </c>
      <c r="AI1" s="34" t="s">
        <v>376</v>
      </c>
      <c r="AJ1" s="81" t="s">
        <v>1076</v>
      </c>
      <c r="AK1" s="51" t="s">
        <v>1059</v>
      </c>
      <c r="AL1" s="67" t="s">
        <v>1219</v>
      </c>
      <c r="AM1" s="82" t="str">
        <f>CONCATENATE('SP export'!$B$19," [",'SP export'!$D$19,"]")</f>
        <v>Climate change (IPCC 2013) [kg CO2-eq]</v>
      </c>
      <c r="AN1" s="82" t="str">
        <f>CONCATENATE('SP export'!$B$20," [",'SP export'!$D$20,"]")</f>
        <v>Human health [DALY]</v>
      </c>
      <c r="AO1" s="82" t="str">
        <f>CONCATENATE('SP export'!$B$21," [",'SP export'!$D$21,"]")</f>
        <v>Ecosystem quality [PDF.m2.y]</v>
      </c>
      <c r="AP1" s="82" t="str">
        <f>CONCATENATE('SP export'!$B$22," [",'SP export'!$D$22,"]")</f>
        <v>Resources [MJ]</v>
      </c>
      <c r="AQ1" s="82" t="str">
        <f>CONCATENATE('SP export'!$B$23," [",'SP export'!$D$23,"]")</f>
        <v>Freshwater withdrawal [m3]</v>
      </c>
      <c r="AS1" s="55"/>
    </row>
    <row r="2" spans="1:46" ht="56" customHeight="1">
      <c r="A2" s="20" t="s">
        <v>919</v>
      </c>
      <c r="B2" s="20">
        <v>4</v>
      </c>
      <c r="C2" s="21" t="s">
        <v>437</v>
      </c>
      <c r="D2" s="25" t="s">
        <v>37</v>
      </c>
      <c r="E2" s="22" t="s">
        <v>43</v>
      </c>
      <c r="F2" s="22" t="s">
        <v>19</v>
      </c>
      <c r="G2" s="21" t="s">
        <v>404</v>
      </c>
      <c r="H2" s="24" t="s">
        <v>1060</v>
      </c>
      <c r="I2" s="24" t="s">
        <v>1021</v>
      </c>
      <c r="J2" s="48" t="s">
        <v>878</v>
      </c>
      <c r="K2" s="48" t="s">
        <v>1022</v>
      </c>
      <c r="L2" s="21" t="s">
        <v>413</v>
      </c>
      <c r="M2" s="21" t="s">
        <v>414</v>
      </c>
      <c r="N2" s="21">
        <v>39</v>
      </c>
      <c r="O2" s="21" t="s">
        <v>415</v>
      </c>
      <c r="P2" s="21" t="s">
        <v>217</v>
      </c>
      <c r="Q2" s="24" t="s">
        <v>640</v>
      </c>
      <c r="R2" s="21" t="s">
        <v>391</v>
      </c>
      <c r="S2" s="21" t="s">
        <v>416</v>
      </c>
      <c r="T2" s="21" t="s">
        <v>417</v>
      </c>
      <c r="U2" s="21">
        <v>34</v>
      </c>
      <c r="V2" s="21" t="s">
        <v>862</v>
      </c>
      <c r="W2" s="21">
        <v>63</v>
      </c>
      <c r="X2" s="21" t="s">
        <v>862</v>
      </c>
      <c r="Y2" s="37" t="s">
        <v>418</v>
      </c>
      <c r="Z2" s="24" t="s">
        <v>1153</v>
      </c>
      <c r="AA2" s="24" t="s">
        <v>419</v>
      </c>
      <c r="AB2" s="49">
        <v>400000</v>
      </c>
      <c r="AC2" s="22" t="s">
        <v>32</v>
      </c>
      <c r="AD2" s="22" t="s">
        <v>767</v>
      </c>
      <c r="AE2" s="23" t="s">
        <v>41</v>
      </c>
      <c r="AF2" s="26" t="s">
        <v>42</v>
      </c>
      <c r="AG2" s="26" t="s">
        <v>35</v>
      </c>
      <c r="AH2" s="24" t="s">
        <v>420</v>
      </c>
      <c r="AI2" s="24" t="s">
        <v>421</v>
      </c>
      <c r="AJ2" s="60" t="s">
        <v>875</v>
      </c>
      <c r="AK2" s="23"/>
      <c r="AL2" s="23"/>
      <c r="AM2" s="44">
        <f>HLOOKUP($A2,'SP export'!$G$15:$XFD$25,'SP export'!$A$19,)</f>
        <v>-267634600</v>
      </c>
      <c r="AN2" s="44">
        <f>HLOOKUP($A2,'SP export'!$G$15:$XFD$25,'SP export'!$A$20,)</f>
        <v>-736.97343000000001</v>
      </c>
      <c r="AO2" s="44">
        <f>HLOOKUP($A2,'SP export'!$G$15:$XFD$25,'SP export'!$A$21,)</f>
        <v>-63436589</v>
      </c>
      <c r="AP2" s="44">
        <f>HLOOKUP($A2,'SP export'!$G$15:$XFD$25,'SP export'!$A$22,)</f>
        <v>-14065594000</v>
      </c>
      <c r="AQ2" s="44">
        <f>HLOOKUP($A2,'SP export'!$G$15:$XFD$25,'SP export'!$A$23,)</f>
        <v>-4443907.2</v>
      </c>
      <c r="AS2" s="44"/>
      <c r="AT2" s="15"/>
    </row>
    <row r="3" spans="1:46" ht="56" customHeight="1">
      <c r="A3" s="20" t="s">
        <v>920</v>
      </c>
      <c r="B3" s="20">
        <v>6</v>
      </c>
      <c r="C3" s="24" t="s">
        <v>52</v>
      </c>
      <c r="D3" s="25" t="s">
        <v>53</v>
      </c>
      <c r="E3" s="25" t="s">
        <v>43</v>
      </c>
      <c r="F3" s="25" t="s">
        <v>19</v>
      </c>
      <c r="G3" s="21" t="s">
        <v>391</v>
      </c>
      <c r="H3" s="24" t="s">
        <v>1061</v>
      </c>
      <c r="I3" s="24" t="s">
        <v>874</v>
      </c>
      <c r="J3" s="48" t="s">
        <v>875</v>
      </c>
      <c r="K3" s="48" t="s">
        <v>1023</v>
      </c>
      <c r="L3" s="21" t="s">
        <v>431</v>
      </c>
      <c r="M3" s="21" t="s">
        <v>432</v>
      </c>
      <c r="N3" s="21">
        <v>101</v>
      </c>
      <c r="O3" s="21" t="s">
        <v>433</v>
      </c>
      <c r="P3" s="21">
        <v>101</v>
      </c>
      <c r="Q3" s="21" t="s">
        <v>433</v>
      </c>
      <c r="R3" s="21" t="s">
        <v>407</v>
      </c>
      <c r="S3" s="21" t="s">
        <v>408</v>
      </c>
      <c r="T3" s="21" t="s">
        <v>434</v>
      </c>
      <c r="U3" s="21">
        <v>268</v>
      </c>
      <c r="V3" s="21" t="s">
        <v>639</v>
      </c>
      <c r="W3" s="21">
        <v>268</v>
      </c>
      <c r="X3" s="21" t="s">
        <v>410</v>
      </c>
      <c r="Y3" s="37" t="s">
        <v>1157</v>
      </c>
      <c r="Z3" s="24" t="s">
        <v>1158</v>
      </c>
      <c r="AA3" s="24" t="s">
        <v>1033</v>
      </c>
      <c r="AB3" s="49">
        <f>AVERAGE(10478800,20241200)</f>
        <v>15360000</v>
      </c>
      <c r="AC3" s="25" t="s">
        <v>56</v>
      </c>
      <c r="AD3" s="22" t="s">
        <v>377</v>
      </c>
      <c r="AE3" s="26" t="s">
        <v>41</v>
      </c>
      <c r="AF3" s="25" t="s">
        <v>57</v>
      </c>
      <c r="AG3" s="25" t="s">
        <v>20</v>
      </c>
      <c r="AH3" s="24" t="s">
        <v>379</v>
      </c>
      <c r="AI3" s="24" t="s">
        <v>863</v>
      </c>
      <c r="AJ3" s="60" t="s">
        <v>875</v>
      </c>
      <c r="AK3" s="23"/>
      <c r="AL3" s="23"/>
      <c r="AM3" s="44">
        <f>HLOOKUP($A3,'SP export'!$G$15:$XFD$25,'SP export'!$A$19,)</f>
        <v>-10010534000</v>
      </c>
      <c r="AN3" s="44">
        <f>HLOOKUP($A3,'SP export'!$G$15:$XFD$25,'SP export'!$A$20,)</f>
        <v>-5119.4973</v>
      </c>
      <c r="AO3" s="44">
        <f>HLOOKUP($A3,'SP export'!$G$15:$XFD$25,'SP export'!$A$21,)</f>
        <v>-3014204400</v>
      </c>
      <c r="AP3" s="44">
        <f>HLOOKUP($A3,'SP export'!$G$15:$XFD$25,'SP export'!$A$22,)</f>
        <v>-72080234000</v>
      </c>
      <c r="AQ3" s="44">
        <f>HLOOKUP($A3,'SP export'!$G$15:$XFD$25,'SP export'!$A$23,)</f>
        <v>-97873247</v>
      </c>
      <c r="AS3" s="44"/>
    </row>
    <row r="4" spans="1:46" ht="56" customHeight="1">
      <c r="A4" s="20" t="s">
        <v>921</v>
      </c>
      <c r="B4" s="20">
        <v>8</v>
      </c>
      <c r="C4" s="24" t="s">
        <v>58</v>
      </c>
      <c r="D4" s="25" t="s">
        <v>58</v>
      </c>
      <c r="E4" s="22" t="s">
        <v>43</v>
      </c>
      <c r="F4" s="25" t="s">
        <v>19</v>
      </c>
      <c r="G4" s="21" t="s">
        <v>448</v>
      </c>
      <c r="H4" s="24" t="s">
        <v>874</v>
      </c>
      <c r="I4" s="24" t="s">
        <v>874</v>
      </c>
      <c r="J4" s="48" t="s">
        <v>875</v>
      </c>
      <c r="K4" s="24" t="s">
        <v>876</v>
      </c>
      <c r="L4" s="21" t="s">
        <v>449</v>
      </c>
      <c r="M4" s="21" t="s">
        <v>450</v>
      </c>
      <c r="N4" s="21"/>
      <c r="O4" s="21" t="s">
        <v>451</v>
      </c>
      <c r="P4" s="21">
        <v>950</v>
      </c>
      <c r="Q4" s="21" t="s">
        <v>452</v>
      </c>
      <c r="R4" s="21" t="s">
        <v>407</v>
      </c>
      <c r="S4" s="21" t="s">
        <v>408</v>
      </c>
      <c r="T4" s="21" t="s">
        <v>444</v>
      </c>
      <c r="U4" s="21">
        <v>268</v>
      </c>
      <c r="V4" s="21" t="s">
        <v>445</v>
      </c>
      <c r="W4" s="21">
        <v>268</v>
      </c>
      <c r="X4" s="21" t="s">
        <v>446</v>
      </c>
      <c r="Y4" s="21" t="s">
        <v>1159</v>
      </c>
      <c r="Z4" s="21"/>
      <c r="AA4" s="37" t="s">
        <v>447</v>
      </c>
      <c r="AB4" s="49">
        <v>7850000</v>
      </c>
      <c r="AC4" s="25" t="s">
        <v>17</v>
      </c>
      <c r="AD4" s="22" t="s">
        <v>378</v>
      </c>
      <c r="AE4" s="26" t="s">
        <v>41</v>
      </c>
      <c r="AF4" s="25" t="s">
        <v>64</v>
      </c>
      <c r="AG4" s="25" t="s">
        <v>20</v>
      </c>
      <c r="AH4" s="24" t="s">
        <v>379</v>
      </c>
      <c r="AI4" s="24" t="s">
        <v>58</v>
      </c>
      <c r="AJ4" s="60" t="s">
        <v>875</v>
      </c>
      <c r="AK4" s="23"/>
      <c r="AL4" s="23"/>
      <c r="AM4" s="44">
        <f>HLOOKUP($A4,'SP export'!$G$15:$XFD$25,'SP export'!$A$19,)</f>
        <v>-126775460</v>
      </c>
      <c r="AN4" s="44">
        <f>HLOOKUP($A4,'SP export'!$G$15:$XFD$25,'SP export'!$A$20,)</f>
        <v>-640.70159000000001</v>
      </c>
      <c r="AO4" s="44">
        <f>HLOOKUP($A4,'SP export'!$G$15:$XFD$25,'SP export'!$A$21,)</f>
        <v>-153481360</v>
      </c>
      <c r="AP4" s="44">
        <f>HLOOKUP($A4,'SP export'!$G$15:$XFD$25,'SP export'!$A$22,)</f>
        <v>-2546866600</v>
      </c>
      <c r="AQ4" s="44">
        <f>HLOOKUP($A4,'SP export'!$G$15:$XFD$25,'SP export'!$A$23,)</f>
        <v>-3487882.6</v>
      </c>
      <c r="AS4" s="44"/>
    </row>
    <row r="5" spans="1:46" ht="56" customHeight="1">
      <c r="A5" s="20" t="s">
        <v>922</v>
      </c>
      <c r="B5" s="20">
        <v>11</v>
      </c>
      <c r="C5" s="24" t="s">
        <v>66</v>
      </c>
      <c r="D5" s="25" t="s">
        <v>66</v>
      </c>
      <c r="E5" s="22" t="s">
        <v>43</v>
      </c>
      <c r="F5" s="25" t="s">
        <v>19</v>
      </c>
      <c r="G5" s="21" t="s">
        <v>463</v>
      </c>
      <c r="H5" s="24" t="s">
        <v>866</v>
      </c>
      <c r="I5" s="24" t="s">
        <v>874</v>
      </c>
      <c r="J5" s="48" t="s">
        <v>875</v>
      </c>
      <c r="K5" s="24" t="s">
        <v>872</v>
      </c>
      <c r="L5" s="21" t="s">
        <v>464</v>
      </c>
      <c r="M5" s="21" t="s">
        <v>465</v>
      </c>
      <c r="N5" s="21">
        <v>129</v>
      </c>
      <c r="O5" s="21" t="s">
        <v>466</v>
      </c>
      <c r="P5" s="21"/>
      <c r="Q5" s="21" t="s">
        <v>467</v>
      </c>
      <c r="R5" s="21" t="s">
        <v>439</v>
      </c>
      <c r="S5" s="21" t="s">
        <v>468</v>
      </c>
      <c r="T5" s="21" t="s">
        <v>469</v>
      </c>
      <c r="U5" s="21"/>
      <c r="V5" s="21" t="s">
        <v>470</v>
      </c>
      <c r="W5" s="21"/>
      <c r="X5" s="21" t="s">
        <v>471</v>
      </c>
      <c r="Y5" s="37" t="s">
        <v>105</v>
      </c>
      <c r="Z5" s="21" t="s">
        <v>1034</v>
      </c>
      <c r="AA5" s="21" t="s">
        <v>472</v>
      </c>
      <c r="AB5" s="49">
        <v>1002000</v>
      </c>
      <c r="AC5" s="25" t="s">
        <v>17</v>
      </c>
      <c r="AD5" s="22" t="s">
        <v>378</v>
      </c>
      <c r="AE5" s="26" t="s">
        <v>41</v>
      </c>
      <c r="AF5" s="25" t="s">
        <v>107</v>
      </c>
      <c r="AG5" s="25" t="s">
        <v>20</v>
      </c>
      <c r="AH5" s="24" t="s">
        <v>379</v>
      </c>
      <c r="AI5" s="24" t="s">
        <v>473</v>
      </c>
      <c r="AJ5" s="60" t="s">
        <v>875</v>
      </c>
      <c r="AK5" s="23"/>
      <c r="AL5" s="23"/>
      <c r="AM5" s="44">
        <f>HLOOKUP($A5,'SP export'!$G$15:$XFD$25,'SP export'!$A$19,)</f>
        <v>-44467283</v>
      </c>
      <c r="AN5" s="44">
        <f>HLOOKUP($A5,'SP export'!$G$15:$XFD$25,'SP export'!$A$20,)</f>
        <v>-55.224908999999997</v>
      </c>
      <c r="AO5" s="44">
        <f>HLOOKUP($A5,'SP export'!$G$15:$XFD$25,'SP export'!$A$21,)</f>
        <v>-24095060</v>
      </c>
      <c r="AP5" s="44">
        <f>HLOOKUP($A5,'SP export'!$G$15:$XFD$25,'SP export'!$A$22,)</f>
        <v>-651766320</v>
      </c>
      <c r="AQ5" s="44">
        <f>HLOOKUP($A5,'SP export'!$G$15:$XFD$25,'SP export'!$A$23,)</f>
        <v>-4376505.9000000004</v>
      </c>
      <c r="AS5" s="44"/>
    </row>
    <row r="6" spans="1:46" ht="56" customHeight="1">
      <c r="A6" s="20" t="s">
        <v>923</v>
      </c>
      <c r="B6" s="20">
        <v>12</v>
      </c>
      <c r="C6" s="24" t="s">
        <v>67</v>
      </c>
      <c r="D6" s="25" t="s">
        <v>67</v>
      </c>
      <c r="E6" s="22" t="s">
        <v>43</v>
      </c>
      <c r="F6" s="25" t="s">
        <v>19</v>
      </c>
      <c r="G6" s="21" t="s">
        <v>425</v>
      </c>
      <c r="H6" s="24" t="s">
        <v>1024</v>
      </c>
      <c r="I6" s="24" t="s">
        <v>1021</v>
      </c>
      <c r="J6" s="48" t="s">
        <v>878</v>
      </c>
      <c r="K6" s="24" t="s">
        <v>1062</v>
      </c>
      <c r="L6" s="21" t="s">
        <v>474</v>
      </c>
      <c r="M6" s="21" t="s">
        <v>475</v>
      </c>
      <c r="N6" s="21">
        <v>18</v>
      </c>
      <c r="O6" s="21" t="s">
        <v>476</v>
      </c>
      <c r="P6" s="21"/>
      <c r="Q6" s="21" t="s">
        <v>477</v>
      </c>
      <c r="R6" s="21" t="s">
        <v>439</v>
      </c>
      <c r="S6" s="21" t="s">
        <v>478</v>
      </c>
      <c r="T6" s="21" t="s">
        <v>479</v>
      </c>
      <c r="U6" s="21">
        <v>15</v>
      </c>
      <c r="V6" s="21" t="s">
        <v>480</v>
      </c>
      <c r="W6" s="21"/>
      <c r="X6" s="21" t="s">
        <v>481</v>
      </c>
      <c r="Y6" s="24" t="s">
        <v>1154</v>
      </c>
      <c r="Z6" s="24" t="s">
        <v>1064</v>
      </c>
      <c r="AA6" s="37" t="s">
        <v>482</v>
      </c>
      <c r="AB6" s="49">
        <v>377000</v>
      </c>
      <c r="AC6" s="25" t="s">
        <v>17</v>
      </c>
      <c r="AD6" s="22" t="s">
        <v>378</v>
      </c>
      <c r="AE6" s="28" t="s">
        <v>41</v>
      </c>
      <c r="AF6" s="27" t="s">
        <v>109</v>
      </c>
      <c r="AG6" s="25" t="s">
        <v>20</v>
      </c>
      <c r="AH6" s="24" t="s">
        <v>379</v>
      </c>
      <c r="AI6" s="24" t="s">
        <v>1063</v>
      </c>
      <c r="AJ6" s="60" t="s">
        <v>875</v>
      </c>
      <c r="AK6" s="23"/>
      <c r="AL6" s="23"/>
      <c r="AM6" s="44">
        <f>HLOOKUP($A6,'SP export'!$G$15:$XFD$25,'SP export'!$A$19,)</f>
        <v>-654785280</v>
      </c>
      <c r="AN6" s="44">
        <f>HLOOKUP($A6,'SP export'!$G$15:$XFD$25,'SP export'!$A$20,)</f>
        <v>-298.90257000000003</v>
      </c>
      <c r="AO6" s="44">
        <f>HLOOKUP($A6,'SP export'!$G$15:$XFD$25,'SP export'!$A$21,)</f>
        <v>-105422790</v>
      </c>
      <c r="AP6" s="44">
        <f>HLOOKUP($A6,'SP export'!$G$15:$XFD$25,'SP export'!$A$22,)</f>
        <v>-3396080800</v>
      </c>
      <c r="AQ6" s="44">
        <f>HLOOKUP($A6,'SP export'!$G$15:$XFD$25,'SP export'!$A$23,)</f>
        <v>-16664554</v>
      </c>
      <c r="AS6" s="44"/>
    </row>
    <row r="7" spans="1:46" ht="56" customHeight="1">
      <c r="A7" s="20" t="s">
        <v>924</v>
      </c>
      <c r="B7" s="20">
        <v>13</v>
      </c>
      <c r="C7" s="24" t="s">
        <v>67</v>
      </c>
      <c r="D7" s="25" t="s">
        <v>67</v>
      </c>
      <c r="E7" s="22" t="s">
        <v>43</v>
      </c>
      <c r="F7" s="25" t="s">
        <v>19</v>
      </c>
      <c r="G7" s="21" t="s">
        <v>484</v>
      </c>
      <c r="H7" s="24" t="s">
        <v>866</v>
      </c>
      <c r="I7" s="24" t="s">
        <v>874</v>
      </c>
      <c r="J7" s="48" t="s">
        <v>878</v>
      </c>
      <c r="K7" s="24" t="s">
        <v>871</v>
      </c>
      <c r="L7" s="21" t="s">
        <v>485</v>
      </c>
      <c r="M7" s="21" t="s">
        <v>486</v>
      </c>
      <c r="N7" s="21">
        <v>1068</v>
      </c>
      <c r="O7" s="21" t="s">
        <v>487</v>
      </c>
      <c r="P7" s="21"/>
      <c r="Q7" s="21" t="s">
        <v>488</v>
      </c>
      <c r="R7" s="21" t="s">
        <v>439</v>
      </c>
      <c r="S7" s="21" t="s">
        <v>478</v>
      </c>
      <c r="T7" s="21" t="s">
        <v>479</v>
      </c>
      <c r="U7" s="21">
        <v>15</v>
      </c>
      <c r="V7" s="21" t="s">
        <v>480</v>
      </c>
      <c r="W7" s="21"/>
      <c r="X7" s="21" t="s">
        <v>481</v>
      </c>
      <c r="Y7" s="37" t="s">
        <v>110</v>
      </c>
      <c r="Z7" s="24" t="s">
        <v>1035</v>
      </c>
      <c r="AA7" s="21" t="s">
        <v>482</v>
      </c>
      <c r="AB7" s="49">
        <v>68127</v>
      </c>
      <c r="AC7" s="25" t="s">
        <v>50</v>
      </c>
      <c r="AD7" s="22" t="s">
        <v>378</v>
      </c>
      <c r="AE7" s="26" t="s">
        <v>41</v>
      </c>
      <c r="AF7" s="27" t="s">
        <v>111</v>
      </c>
      <c r="AG7" s="25" t="s">
        <v>20</v>
      </c>
      <c r="AH7" s="24" t="s">
        <v>379</v>
      </c>
      <c r="AI7" s="24" t="s">
        <v>483</v>
      </c>
      <c r="AJ7" s="60" t="s">
        <v>875</v>
      </c>
      <c r="AK7" s="23"/>
      <c r="AL7" s="23"/>
      <c r="AM7" s="44">
        <f>HLOOKUP($A7,'SP export'!$G$15:$XFD$25,'SP export'!$A$19,)</f>
        <v>-13309202</v>
      </c>
      <c r="AN7" s="44">
        <f>HLOOKUP($A7,'SP export'!$G$15:$XFD$25,'SP export'!$A$20,)</f>
        <v>-27.445159</v>
      </c>
      <c r="AO7" s="44">
        <f>HLOOKUP($A7,'SP export'!$G$15:$XFD$25,'SP export'!$A$21,)</f>
        <v>-10784602</v>
      </c>
      <c r="AP7" s="44">
        <f>HLOOKUP($A7,'SP export'!$G$15:$XFD$25,'SP export'!$A$22,)</f>
        <v>-208030610</v>
      </c>
      <c r="AQ7" s="44">
        <f>HLOOKUP($A7,'SP export'!$G$15:$XFD$25,'SP export'!$A$23,)</f>
        <v>-1710604.6</v>
      </c>
      <c r="AS7" s="44"/>
    </row>
    <row r="8" spans="1:46" ht="56" customHeight="1">
      <c r="A8" s="20" t="s">
        <v>925</v>
      </c>
      <c r="B8" s="20">
        <v>14</v>
      </c>
      <c r="C8" s="24" t="s">
        <v>37</v>
      </c>
      <c r="D8" s="25" t="s">
        <v>37</v>
      </c>
      <c r="E8" s="22" t="s">
        <v>43</v>
      </c>
      <c r="F8" s="25" t="s">
        <v>19</v>
      </c>
      <c r="G8" s="21" t="s">
        <v>404</v>
      </c>
      <c r="H8" s="24" t="s">
        <v>1021</v>
      </c>
      <c r="I8" s="24" t="s">
        <v>1021</v>
      </c>
      <c r="J8" s="48" t="s">
        <v>878</v>
      </c>
      <c r="K8" s="24" t="s">
        <v>1022</v>
      </c>
      <c r="L8" s="21" t="s">
        <v>489</v>
      </c>
      <c r="M8" s="21" t="s">
        <v>490</v>
      </c>
      <c r="N8" s="21">
        <v>26</v>
      </c>
      <c r="O8" s="21" t="s">
        <v>491</v>
      </c>
      <c r="P8" s="21"/>
      <c r="Q8" s="21" t="s">
        <v>492</v>
      </c>
      <c r="R8" s="21" t="s">
        <v>391</v>
      </c>
      <c r="S8" s="21" t="s">
        <v>493</v>
      </c>
      <c r="T8" s="21" t="s">
        <v>494</v>
      </c>
      <c r="U8" s="21">
        <v>86</v>
      </c>
      <c r="V8" s="21" t="s">
        <v>495</v>
      </c>
      <c r="W8" s="21">
        <v>86</v>
      </c>
      <c r="X8" s="21" t="s">
        <v>496</v>
      </c>
      <c r="Y8" s="37" t="s">
        <v>864</v>
      </c>
      <c r="Z8" s="24" t="s">
        <v>1036</v>
      </c>
      <c r="AA8" s="21" t="s">
        <v>497</v>
      </c>
      <c r="AB8" s="49">
        <f>AVERAGE(829,1658)</f>
        <v>1243.5</v>
      </c>
      <c r="AC8" s="25" t="s">
        <v>50</v>
      </c>
      <c r="AD8" s="22" t="s">
        <v>378</v>
      </c>
      <c r="AE8" s="26" t="s">
        <v>41</v>
      </c>
      <c r="AF8" s="25" t="s">
        <v>113</v>
      </c>
      <c r="AG8" s="25" t="s">
        <v>35</v>
      </c>
      <c r="AH8" s="24" t="s">
        <v>379</v>
      </c>
      <c r="AI8" s="24" t="s">
        <v>498</v>
      </c>
      <c r="AJ8" s="60" t="s">
        <v>875</v>
      </c>
      <c r="AK8" s="23"/>
      <c r="AL8" s="23"/>
      <c r="AM8" s="44">
        <f>HLOOKUP($A8,'SP export'!$G$15:$XFD$25,'SP export'!$A$19,)</f>
        <v>-821991.1</v>
      </c>
      <c r="AN8" s="44">
        <f>HLOOKUP($A8,'SP export'!$G$15:$XFD$25,'SP export'!$A$20,)</f>
        <v>-0.68598464000000003</v>
      </c>
      <c r="AO8" s="44">
        <f>HLOOKUP($A8,'SP export'!$G$15:$XFD$25,'SP export'!$A$21,)</f>
        <v>-144249.04</v>
      </c>
      <c r="AP8" s="44">
        <f>HLOOKUP($A8,'SP export'!$G$15:$XFD$25,'SP export'!$A$22,)</f>
        <v>-43395390</v>
      </c>
      <c r="AQ8" s="44">
        <f>HLOOKUP($A8,'SP export'!$G$15:$XFD$25,'SP export'!$A$23,)</f>
        <v>-13272.504999999999</v>
      </c>
      <c r="AS8" s="44"/>
    </row>
    <row r="9" spans="1:46" ht="56" customHeight="1">
      <c r="A9" s="20" t="s">
        <v>926</v>
      </c>
      <c r="B9" s="20">
        <v>15</v>
      </c>
      <c r="C9" s="24" t="s">
        <v>66</v>
      </c>
      <c r="D9" s="25" t="s">
        <v>66</v>
      </c>
      <c r="E9" s="22" t="s">
        <v>43</v>
      </c>
      <c r="F9" s="25" t="s">
        <v>19</v>
      </c>
      <c r="G9" s="21" t="s">
        <v>499</v>
      </c>
      <c r="H9" s="24" t="s">
        <v>866</v>
      </c>
      <c r="I9" s="24" t="s">
        <v>874</v>
      </c>
      <c r="J9" s="48" t="s">
        <v>875</v>
      </c>
      <c r="K9" s="24" t="s">
        <v>871</v>
      </c>
      <c r="L9" s="21" t="s">
        <v>500</v>
      </c>
      <c r="M9" s="21" t="s">
        <v>501</v>
      </c>
      <c r="N9" s="21">
        <v>192</v>
      </c>
      <c r="O9" s="21" t="s">
        <v>502</v>
      </c>
      <c r="P9" s="21">
        <v>77</v>
      </c>
      <c r="Q9" s="21" t="s">
        <v>503</v>
      </c>
      <c r="R9" s="21" t="s">
        <v>391</v>
      </c>
      <c r="S9" s="21" t="s">
        <v>422</v>
      </c>
      <c r="T9" s="21" t="s">
        <v>423</v>
      </c>
      <c r="U9" s="21">
        <v>231</v>
      </c>
      <c r="V9" s="21" t="s">
        <v>504</v>
      </c>
      <c r="W9" s="21">
        <v>231</v>
      </c>
      <c r="X9" s="21" t="s">
        <v>505</v>
      </c>
      <c r="Y9" s="37" t="s">
        <v>865</v>
      </c>
      <c r="Z9" s="24" t="s">
        <v>1037</v>
      </c>
      <c r="AA9" s="21" t="s">
        <v>506</v>
      </c>
      <c r="AB9" s="70">
        <f>AVERAGE(252000,504000)</f>
        <v>378000</v>
      </c>
      <c r="AC9" s="25" t="s">
        <v>50</v>
      </c>
      <c r="AD9" s="22" t="s">
        <v>378</v>
      </c>
      <c r="AE9" s="26" t="s">
        <v>41</v>
      </c>
      <c r="AF9" s="25" t="s">
        <v>115</v>
      </c>
      <c r="AG9" s="25" t="s">
        <v>20</v>
      </c>
      <c r="AH9" s="24" t="s">
        <v>379</v>
      </c>
      <c r="AI9" s="24" t="s">
        <v>473</v>
      </c>
      <c r="AJ9" s="60" t="s">
        <v>875</v>
      </c>
      <c r="AK9" s="23"/>
      <c r="AL9" s="23"/>
      <c r="AM9" s="44">
        <f>HLOOKUP($A9,'SP export'!$G$15:$XFD$25,'SP export'!$A$19,)</f>
        <v>-16775083</v>
      </c>
      <c r="AN9" s="44">
        <f>HLOOKUP($A9,'SP export'!$G$15:$XFD$25,'SP export'!$A$20,)</f>
        <v>-20.833348999999998</v>
      </c>
      <c r="AO9" s="44">
        <f>HLOOKUP($A9,'SP export'!$G$15:$XFD$25,'SP export'!$A$21,)</f>
        <v>-9089753</v>
      </c>
      <c r="AP9" s="44">
        <f>HLOOKUP($A9,'SP export'!$G$15:$XFD$25,'SP export'!$A$22,)</f>
        <v>-245875920</v>
      </c>
      <c r="AQ9" s="44">
        <f>HLOOKUP($A9,'SP export'!$G$15:$XFD$25,'SP export'!$A$23,)</f>
        <v>-1651017.2</v>
      </c>
      <c r="AS9" s="44"/>
    </row>
    <row r="10" spans="1:46" ht="56" customHeight="1">
      <c r="A10" s="20" t="s">
        <v>927</v>
      </c>
      <c r="B10" s="20">
        <v>22</v>
      </c>
      <c r="C10" s="24" t="s">
        <v>71</v>
      </c>
      <c r="D10" s="25" t="s">
        <v>71</v>
      </c>
      <c r="E10" s="22" t="s">
        <v>43</v>
      </c>
      <c r="F10" s="25" t="s">
        <v>19</v>
      </c>
      <c r="G10" s="21" t="s">
        <v>391</v>
      </c>
      <c r="H10" s="24" t="s">
        <v>866</v>
      </c>
      <c r="I10" s="24" t="s">
        <v>874</v>
      </c>
      <c r="J10" s="48" t="s">
        <v>878</v>
      </c>
      <c r="K10" s="24" t="s">
        <v>1025</v>
      </c>
      <c r="L10" s="21" t="s">
        <v>422</v>
      </c>
      <c r="M10" s="21" t="s">
        <v>423</v>
      </c>
      <c r="N10" s="21">
        <v>231</v>
      </c>
      <c r="O10" s="21" t="s">
        <v>504</v>
      </c>
      <c r="P10" s="21">
        <v>231</v>
      </c>
      <c r="Q10" s="21" t="s">
        <v>505</v>
      </c>
      <c r="R10" s="21" t="s">
        <v>536</v>
      </c>
      <c r="S10" s="21" t="s">
        <v>537</v>
      </c>
      <c r="T10" s="21" t="s">
        <v>538</v>
      </c>
      <c r="U10" s="21">
        <v>175</v>
      </c>
      <c r="V10" s="21" t="s">
        <v>539</v>
      </c>
      <c r="W10" s="21"/>
      <c r="X10" s="21" t="s">
        <v>540</v>
      </c>
      <c r="Y10" s="21" t="s">
        <v>133</v>
      </c>
      <c r="Z10" s="24" t="s">
        <v>1038</v>
      </c>
      <c r="AA10" s="37" t="s">
        <v>868</v>
      </c>
      <c r="AB10" s="70">
        <f>AVERAGE( 107945,215890)</f>
        <v>161917.5</v>
      </c>
      <c r="AC10" s="25" t="s">
        <v>50</v>
      </c>
      <c r="AD10" s="22" t="s">
        <v>378</v>
      </c>
      <c r="AE10" s="26" t="s">
        <v>41</v>
      </c>
      <c r="AF10" s="25" t="s">
        <v>135</v>
      </c>
      <c r="AG10" s="25" t="s">
        <v>642</v>
      </c>
      <c r="AH10" s="24" t="s">
        <v>379</v>
      </c>
      <c r="AI10" s="24" t="s">
        <v>379</v>
      </c>
      <c r="AJ10" s="60" t="s">
        <v>875</v>
      </c>
      <c r="AK10" s="23"/>
      <c r="AL10" s="23"/>
      <c r="AM10" s="44">
        <f>HLOOKUP($A10,'SP export'!$G$15:$XFD$25,'SP export'!$A$19,)</f>
        <v>-336269680</v>
      </c>
      <c r="AN10" s="44">
        <f>HLOOKUP($A10,'SP export'!$G$15:$XFD$25,'SP export'!$A$20,)</f>
        <v>-280.42720000000003</v>
      </c>
      <c r="AO10" s="44">
        <f>HLOOKUP($A10,'SP export'!$G$15:$XFD$25,'SP export'!$A$21,)</f>
        <v>-62051898</v>
      </c>
      <c r="AP10" s="44">
        <f>HLOOKUP($A10,'SP export'!$G$15:$XFD$25,'SP export'!$A$22,)</f>
        <v>-3269935800</v>
      </c>
      <c r="AQ10" s="44">
        <f>HLOOKUP($A10,'SP export'!$G$15:$XFD$25,'SP export'!$A$23,)</f>
        <v>-6369779</v>
      </c>
      <c r="AS10" s="44"/>
    </row>
    <row r="11" spans="1:46" ht="56" customHeight="1">
      <c r="A11" s="20" t="s">
        <v>928</v>
      </c>
      <c r="B11" s="20">
        <v>23</v>
      </c>
      <c r="C11" s="24" t="s">
        <v>72</v>
      </c>
      <c r="D11" s="25" t="s">
        <v>72</v>
      </c>
      <c r="E11" s="22" t="s">
        <v>43</v>
      </c>
      <c r="F11" s="25" t="s">
        <v>19</v>
      </c>
      <c r="G11" s="21" t="s">
        <v>448</v>
      </c>
      <c r="H11" s="24" t="s">
        <v>874</v>
      </c>
      <c r="I11" s="24" t="s">
        <v>874</v>
      </c>
      <c r="J11" s="48" t="s">
        <v>878</v>
      </c>
      <c r="K11" s="24" t="s">
        <v>867</v>
      </c>
      <c r="L11" s="21" t="s">
        <v>449</v>
      </c>
      <c r="M11" s="21" t="s">
        <v>450</v>
      </c>
      <c r="N11" s="21"/>
      <c r="O11" s="21" t="s">
        <v>451</v>
      </c>
      <c r="P11" s="21">
        <v>950</v>
      </c>
      <c r="Q11" s="21" t="s">
        <v>452</v>
      </c>
      <c r="R11" s="21" t="s">
        <v>536</v>
      </c>
      <c r="S11" s="21" t="s">
        <v>541</v>
      </c>
      <c r="T11" s="21" t="s">
        <v>542</v>
      </c>
      <c r="U11" s="21">
        <v>64</v>
      </c>
      <c r="V11" s="21" t="s">
        <v>543</v>
      </c>
      <c r="W11" s="21"/>
      <c r="X11" s="21" t="s">
        <v>544</v>
      </c>
      <c r="Y11" s="37" t="s">
        <v>1039</v>
      </c>
      <c r="Z11" s="24" t="s">
        <v>1040</v>
      </c>
      <c r="AA11" s="24" t="s">
        <v>1065</v>
      </c>
      <c r="AB11" s="70">
        <v>1000000</v>
      </c>
      <c r="AC11" s="25" t="s">
        <v>50</v>
      </c>
      <c r="AD11" s="22" t="s">
        <v>378</v>
      </c>
      <c r="AE11" s="26" t="s">
        <v>41</v>
      </c>
      <c r="AF11" s="25" t="s">
        <v>137</v>
      </c>
      <c r="AG11" s="25" t="s">
        <v>20</v>
      </c>
      <c r="AH11" s="24" t="s">
        <v>379</v>
      </c>
      <c r="AI11" s="24" t="s">
        <v>545</v>
      </c>
      <c r="AJ11" s="60" t="s">
        <v>875</v>
      </c>
      <c r="AK11" s="23"/>
      <c r="AL11" s="23"/>
      <c r="AM11" s="44">
        <f>HLOOKUP($A11,'SP export'!$G$15:$XFD$25,'SP export'!$A$19,)</f>
        <v>-1393841600</v>
      </c>
      <c r="AN11" s="44">
        <f>HLOOKUP($A11,'SP export'!$G$15:$XFD$25,'SP export'!$A$20,)</f>
        <v>-1788.6013</v>
      </c>
      <c r="AO11" s="44">
        <f>HLOOKUP($A11,'SP export'!$G$15:$XFD$25,'SP export'!$A$21,)</f>
        <v>-398934180</v>
      </c>
      <c r="AP11" s="44">
        <f>HLOOKUP($A11,'SP export'!$G$15:$XFD$25,'SP export'!$A$22,)</f>
        <v>-17114936000</v>
      </c>
      <c r="AQ11" s="44">
        <f>HLOOKUP($A11,'SP export'!$G$15:$XFD$25,'SP export'!$A$23,)</f>
        <v>-45377228</v>
      </c>
      <c r="AS11" s="44"/>
    </row>
    <row r="12" spans="1:46" ht="56" customHeight="1">
      <c r="A12" s="20" t="s">
        <v>929</v>
      </c>
      <c r="B12" s="20">
        <v>24</v>
      </c>
      <c r="C12" s="24" t="s">
        <v>72</v>
      </c>
      <c r="D12" s="25" t="s">
        <v>72</v>
      </c>
      <c r="E12" s="22" t="s">
        <v>43</v>
      </c>
      <c r="F12" s="25" t="s">
        <v>19</v>
      </c>
      <c r="G12" s="21" t="s">
        <v>391</v>
      </c>
      <c r="H12" s="24" t="s">
        <v>874</v>
      </c>
      <c r="I12" s="24" t="s">
        <v>874</v>
      </c>
      <c r="J12" s="48" t="s">
        <v>878</v>
      </c>
      <c r="K12" s="24" t="s">
        <v>1026</v>
      </c>
      <c r="L12" s="21" t="s">
        <v>493</v>
      </c>
      <c r="M12" s="21" t="s">
        <v>494</v>
      </c>
      <c r="N12" s="21">
        <v>86</v>
      </c>
      <c r="O12" s="21" t="s">
        <v>495</v>
      </c>
      <c r="P12" s="21">
        <v>86</v>
      </c>
      <c r="Q12" s="21" t="s">
        <v>496</v>
      </c>
      <c r="R12" s="21" t="s">
        <v>536</v>
      </c>
      <c r="S12" s="21" t="s">
        <v>541</v>
      </c>
      <c r="T12" s="21" t="s">
        <v>542</v>
      </c>
      <c r="U12" s="21">
        <v>64</v>
      </c>
      <c r="V12" s="21" t="s">
        <v>543</v>
      </c>
      <c r="W12" s="21"/>
      <c r="X12" s="21" t="s">
        <v>544</v>
      </c>
      <c r="Y12" s="24" t="s">
        <v>869</v>
      </c>
      <c r="Z12" s="24" t="s">
        <v>1041</v>
      </c>
      <c r="AA12" s="37" t="s">
        <v>1065</v>
      </c>
      <c r="AB12" s="70">
        <f>AVERAGE(1388647,2558033)</f>
        <v>1973340</v>
      </c>
      <c r="AC12" s="25" t="s">
        <v>56</v>
      </c>
      <c r="AD12" s="22" t="s">
        <v>378</v>
      </c>
      <c r="AE12" s="26" t="s">
        <v>41</v>
      </c>
      <c r="AF12" s="25" t="s">
        <v>137</v>
      </c>
      <c r="AG12" s="25" t="s">
        <v>20</v>
      </c>
      <c r="AH12" s="24" t="s">
        <v>379</v>
      </c>
      <c r="AI12" s="24" t="s">
        <v>545</v>
      </c>
      <c r="AJ12" s="60" t="s">
        <v>875</v>
      </c>
      <c r="AK12" s="23"/>
      <c r="AL12" s="23"/>
      <c r="AM12" s="44">
        <f>HLOOKUP($A12,'SP export'!$G$15:$XFD$25,'SP export'!$A$19,)</f>
        <v>-2750523300</v>
      </c>
      <c r="AN12" s="44">
        <f>HLOOKUP($A12,'SP export'!$G$15:$XFD$25,'SP export'!$A$20,)</f>
        <v>-3529.5185000000001</v>
      </c>
      <c r="AO12" s="44">
        <f>HLOOKUP($A12,'SP export'!$G$15:$XFD$25,'SP export'!$A$21,)</f>
        <v>-787232770</v>
      </c>
      <c r="AP12" s="44">
        <f>HLOOKUP($A12,'SP export'!$G$15:$XFD$25,'SP export'!$A$22,)</f>
        <v>-33773588000</v>
      </c>
      <c r="AQ12" s="44">
        <f>HLOOKUP($A12,'SP export'!$G$15:$XFD$25,'SP export'!$A$23,)</f>
        <v>-89544699</v>
      </c>
      <c r="AS12" s="44"/>
    </row>
    <row r="13" spans="1:46" ht="56" customHeight="1">
      <c r="A13" s="20" t="s">
        <v>930</v>
      </c>
      <c r="B13" s="20">
        <v>25</v>
      </c>
      <c r="C13" s="24" t="s">
        <v>66</v>
      </c>
      <c r="D13" s="25" t="s">
        <v>73</v>
      </c>
      <c r="E13" s="22" t="s">
        <v>43</v>
      </c>
      <c r="F13" s="25" t="s">
        <v>19</v>
      </c>
      <c r="G13" s="21" t="s">
        <v>463</v>
      </c>
      <c r="H13" s="24" t="s">
        <v>874</v>
      </c>
      <c r="I13" s="24" t="s">
        <v>874</v>
      </c>
      <c r="J13" s="48" t="s">
        <v>875</v>
      </c>
      <c r="K13" s="24"/>
      <c r="L13" s="21" t="s">
        <v>464</v>
      </c>
      <c r="M13" s="21" t="s">
        <v>465</v>
      </c>
      <c r="N13" s="21">
        <v>129</v>
      </c>
      <c r="O13" s="21" t="s">
        <v>466</v>
      </c>
      <c r="P13" s="21"/>
      <c r="Q13" s="21" t="s">
        <v>467</v>
      </c>
      <c r="R13" s="21" t="s">
        <v>407</v>
      </c>
      <c r="S13" s="21" t="s">
        <v>408</v>
      </c>
      <c r="T13" s="21" t="s">
        <v>434</v>
      </c>
      <c r="U13" s="21">
        <v>268</v>
      </c>
      <c r="V13" s="21" t="s">
        <v>445</v>
      </c>
      <c r="W13" s="21">
        <v>268</v>
      </c>
      <c r="X13" s="21" t="s">
        <v>546</v>
      </c>
      <c r="Y13" s="37" t="s">
        <v>105</v>
      </c>
      <c r="Z13" s="24" t="s">
        <v>1042</v>
      </c>
      <c r="AA13" s="24" t="s">
        <v>1043</v>
      </c>
      <c r="AB13" s="70">
        <v>1002000</v>
      </c>
      <c r="AC13" s="25" t="s">
        <v>17</v>
      </c>
      <c r="AD13" s="22" t="s">
        <v>378</v>
      </c>
      <c r="AE13" s="26" t="s">
        <v>41</v>
      </c>
      <c r="AF13" s="25" t="s">
        <v>141</v>
      </c>
      <c r="AG13" s="25" t="s">
        <v>20</v>
      </c>
      <c r="AH13" s="24" t="s">
        <v>379</v>
      </c>
      <c r="AI13" s="24" t="s">
        <v>547</v>
      </c>
      <c r="AJ13" s="60" t="s">
        <v>875</v>
      </c>
      <c r="AK13" s="23"/>
      <c r="AL13" s="23"/>
      <c r="AM13" s="44">
        <f>HLOOKUP($A13,'SP export'!$G$15:$XFD$25,'SP export'!$A$19,)</f>
        <v>-44467283</v>
      </c>
      <c r="AN13" s="44">
        <f>HLOOKUP($A13,'SP export'!$G$15:$XFD$25,'SP export'!$A$20,)</f>
        <v>-55.224908999999997</v>
      </c>
      <c r="AO13" s="44">
        <f>HLOOKUP($A13,'SP export'!$G$15:$XFD$25,'SP export'!$A$21,)</f>
        <v>-24095060</v>
      </c>
      <c r="AP13" s="44">
        <f>HLOOKUP($A13,'SP export'!$G$15:$XFD$25,'SP export'!$A$22,)</f>
        <v>-651766320</v>
      </c>
      <c r="AQ13" s="44">
        <f>HLOOKUP($A13,'SP export'!$G$15:$XFD$25,'SP export'!$A$23,)</f>
        <v>-4376505.9000000004</v>
      </c>
      <c r="AS13" s="44"/>
    </row>
    <row r="14" spans="1:46" ht="56" customHeight="1">
      <c r="A14" s="20" t="s">
        <v>931</v>
      </c>
      <c r="B14" s="20">
        <v>26</v>
      </c>
      <c r="C14" s="24" t="s">
        <v>66</v>
      </c>
      <c r="D14" s="25" t="s">
        <v>73</v>
      </c>
      <c r="E14" s="22" t="s">
        <v>43</v>
      </c>
      <c r="F14" s="25" t="s">
        <v>19</v>
      </c>
      <c r="G14" s="21" t="s">
        <v>499</v>
      </c>
      <c r="H14" s="24" t="s">
        <v>874</v>
      </c>
      <c r="I14" s="24" t="s">
        <v>874</v>
      </c>
      <c r="J14" s="48" t="s">
        <v>875</v>
      </c>
      <c r="K14" s="24"/>
      <c r="L14" s="21" t="s">
        <v>500</v>
      </c>
      <c r="M14" s="21" t="s">
        <v>501</v>
      </c>
      <c r="N14" s="21">
        <v>192</v>
      </c>
      <c r="O14" s="21" t="s">
        <v>502</v>
      </c>
      <c r="P14" s="21">
        <v>77</v>
      </c>
      <c r="Q14" s="21" t="s">
        <v>503</v>
      </c>
      <c r="R14" s="21" t="s">
        <v>407</v>
      </c>
      <c r="S14" s="21" t="s">
        <v>408</v>
      </c>
      <c r="T14" s="21" t="s">
        <v>434</v>
      </c>
      <c r="U14" s="21">
        <v>268</v>
      </c>
      <c r="V14" s="21" t="s">
        <v>445</v>
      </c>
      <c r="W14" s="21">
        <v>268</v>
      </c>
      <c r="X14" s="21" t="s">
        <v>546</v>
      </c>
      <c r="Y14" s="37" t="s">
        <v>870</v>
      </c>
      <c r="Z14" s="24" t="s">
        <v>1044</v>
      </c>
      <c r="AA14" s="24" t="s">
        <v>1045</v>
      </c>
      <c r="AB14" s="70">
        <f>AVERAGE(418000,836000)</f>
        <v>627000</v>
      </c>
      <c r="AC14" s="25" t="s">
        <v>17</v>
      </c>
      <c r="AD14" s="22" t="s">
        <v>378</v>
      </c>
      <c r="AE14" s="26" t="s">
        <v>41</v>
      </c>
      <c r="AF14" s="25" t="s">
        <v>141</v>
      </c>
      <c r="AG14" s="25" t="s">
        <v>20</v>
      </c>
      <c r="AH14" s="24" t="s">
        <v>379</v>
      </c>
      <c r="AI14" s="24" t="s">
        <v>547</v>
      </c>
      <c r="AJ14" s="60" t="s">
        <v>875</v>
      </c>
      <c r="AK14" s="23"/>
      <c r="AL14" s="23"/>
      <c r="AM14" s="44">
        <f>HLOOKUP($A14,'SP export'!$G$15:$XFD$25,'SP export'!$A$19,)</f>
        <v>-27825336</v>
      </c>
      <c r="AN14" s="44">
        <f>HLOOKUP($A14,'SP export'!$G$15:$XFD$25,'SP export'!$A$20,)</f>
        <v>-34.556904000000003</v>
      </c>
      <c r="AO14" s="44">
        <f>HLOOKUP($A14,'SP export'!$G$15:$XFD$25,'SP export'!$A$21,)</f>
        <v>-15077447</v>
      </c>
      <c r="AP14" s="44">
        <f>HLOOKUP($A14,'SP export'!$G$15:$XFD$25,'SP export'!$A$22,)</f>
        <v>-407841800</v>
      </c>
      <c r="AQ14" s="44">
        <f>HLOOKUP($A14,'SP export'!$G$15:$XFD$25,'SP export'!$A$23,)</f>
        <v>-2738592</v>
      </c>
      <c r="AS14" s="44"/>
    </row>
    <row r="15" spans="1:46" ht="56" customHeight="1">
      <c r="A15" s="20" t="s">
        <v>932</v>
      </c>
      <c r="B15" s="20">
        <v>27</v>
      </c>
      <c r="C15" s="24" t="s">
        <v>74</v>
      </c>
      <c r="D15" s="25" t="s">
        <v>1068</v>
      </c>
      <c r="E15" s="22" t="s">
        <v>43</v>
      </c>
      <c r="F15" s="25" t="s">
        <v>19</v>
      </c>
      <c r="G15" s="21" t="s">
        <v>391</v>
      </c>
      <c r="H15" s="24" t="s">
        <v>874</v>
      </c>
      <c r="I15" s="24" t="s">
        <v>874</v>
      </c>
      <c r="J15" s="48" t="s">
        <v>878</v>
      </c>
      <c r="K15" s="24" t="s">
        <v>1027</v>
      </c>
      <c r="L15" s="21" t="s">
        <v>416</v>
      </c>
      <c r="M15" s="21" t="s">
        <v>417</v>
      </c>
      <c r="N15" s="21">
        <v>34</v>
      </c>
      <c r="O15" s="21" t="s">
        <v>548</v>
      </c>
      <c r="P15" s="21">
        <v>63</v>
      </c>
      <c r="Q15" s="21" t="s">
        <v>549</v>
      </c>
      <c r="R15" s="21" t="s">
        <v>407</v>
      </c>
      <c r="S15" s="21" t="s">
        <v>408</v>
      </c>
      <c r="T15" s="21" t="s">
        <v>434</v>
      </c>
      <c r="U15" s="21">
        <v>268</v>
      </c>
      <c r="V15" s="21" t="s">
        <v>445</v>
      </c>
      <c r="W15" s="21">
        <v>268</v>
      </c>
      <c r="X15" s="21" t="s">
        <v>546</v>
      </c>
      <c r="Y15" s="37" t="s">
        <v>1067</v>
      </c>
      <c r="Z15" s="24" t="s">
        <v>1046</v>
      </c>
      <c r="AA15" s="24" t="s">
        <v>1066</v>
      </c>
      <c r="AB15" s="70">
        <f>AVERAGE(61360,583983)</f>
        <v>322671.5</v>
      </c>
      <c r="AC15" s="25" t="s">
        <v>50</v>
      </c>
      <c r="AD15" s="22" t="s">
        <v>378</v>
      </c>
      <c r="AE15" s="26" t="s">
        <v>41</v>
      </c>
      <c r="AF15" s="25" t="s">
        <v>144</v>
      </c>
      <c r="AG15" s="25" t="s">
        <v>20</v>
      </c>
      <c r="AH15" s="24" t="s">
        <v>379</v>
      </c>
      <c r="AI15" s="24" t="s">
        <v>379</v>
      </c>
      <c r="AJ15" s="60" t="s">
        <v>875</v>
      </c>
      <c r="AK15" s="23"/>
      <c r="AL15" s="23"/>
      <c r="AM15" s="44">
        <f>HLOOKUP($A15,'SP export'!$G$15:$XFD$25,'SP export'!$A$19,)</f>
        <v>-9011406.5999999996</v>
      </c>
      <c r="AN15" s="44">
        <f>HLOOKUP($A15,'SP export'!$G$15:$XFD$25,'SP export'!$A$20,)</f>
        <v>-56.061954</v>
      </c>
      <c r="AO15" s="44">
        <f>HLOOKUP($A15,'SP export'!$G$15:$XFD$25,'SP export'!$A$21,)</f>
        <v>-13607333</v>
      </c>
      <c r="AP15" s="44">
        <f>HLOOKUP($A15,'SP export'!$G$15:$XFD$25,'SP export'!$A$22,)</f>
        <v>-432058750</v>
      </c>
      <c r="AQ15" s="44">
        <f>HLOOKUP($A15,'SP export'!$G$15:$XFD$25,'SP export'!$A$23,)</f>
        <v>-379918.12</v>
      </c>
      <c r="AS15" s="44"/>
    </row>
    <row r="16" spans="1:46" ht="56" customHeight="1">
      <c r="A16" s="20" t="s">
        <v>933</v>
      </c>
      <c r="B16" s="20">
        <v>28</v>
      </c>
      <c r="C16" s="24" t="s">
        <v>76</v>
      </c>
      <c r="D16" s="25" t="s">
        <v>76</v>
      </c>
      <c r="E16" s="22" t="s">
        <v>43</v>
      </c>
      <c r="F16" s="25" t="s">
        <v>19</v>
      </c>
      <c r="G16" s="21" t="s">
        <v>463</v>
      </c>
      <c r="H16" s="24" t="s">
        <v>874</v>
      </c>
      <c r="I16" s="24" t="s">
        <v>874</v>
      </c>
      <c r="J16" s="48" t="s">
        <v>875</v>
      </c>
      <c r="K16" s="24" t="s">
        <v>1028</v>
      </c>
      <c r="L16" s="21" t="s">
        <v>550</v>
      </c>
      <c r="M16" s="21" t="s">
        <v>550</v>
      </c>
      <c r="N16" s="21">
        <v>18</v>
      </c>
      <c r="O16" s="21" t="s">
        <v>552</v>
      </c>
      <c r="P16" s="21">
        <v>18</v>
      </c>
      <c r="Q16" s="21" t="s">
        <v>552</v>
      </c>
      <c r="R16" s="21" t="s">
        <v>407</v>
      </c>
      <c r="S16" s="21" t="s">
        <v>408</v>
      </c>
      <c r="T16" s="21" t="s">
        <v>434</v>
      </c>
      <c r="U16" s="21">
        <v>268</v>
      </c>
      <c r="V16" s="21" t="s">
        <v>445</v>
      </c>
      <c r="W16" s="21">
        <v>268</v>
      </c>
      <c r="X16" s="21" t="s">
        <v>546</v>
      </c>
      <c r="Y16" s="37" t="s">
        <v>1069</v>
      </c>
      <c r="Z16" s="24" t="s">
        <v>1047</v>
      </c>
      <c r="AA16" s="24" t="s">
        <v>1048</v>
      </c>
      <c r="AB16" s="70">
        <f>AVERAGE(16587,77406)</f>
        <v>46996.5</v>
      </c>
      <c r="AC16" s="25" t="s">
        <v>17</v>
      </c>
      <c r="AD16" s="22" t="s">
        <v>378</v>
      </c>
      <c r="AE16" s="26" t="s">
        <v>41</v>
      </c>
      <c r="AF16" s="25" t="s">
        <v>146</v>
      </c>
      <c r="AG16" s="25" t="s">
        <v>20</v>
      </c>
      <c r="AH16" s="24" t="s">
        <v>379</v>
      </c>
      <c r="AI16" s="24" t="s">
        <v>553</v>
      </c>
      <c r="AJ16" s="60" t="s">
        <v>875</v>
      </c>
      <c r="AK16" s="23"/>
      <c r="AL16" s="23"/>
      <c r="AM16" s="44">
        <f>HLOOKUP($A16,'SP export'!$G$15:$XFD$25,'SP export'!$A$19,)</f>
        <v>-1086106.5</v>
      </c>
      <c r="AN16" s="44">
        <f>HLOOKUP($A16,'SP export'!$G$15:$XFD$25,'SP export'!$A$20,)</f>
        <v>-6.7820745999999996</v>
      </c>
      <c r="AO16" s="44">
        <f>HLOOKUP($A16,'SP export'!$G$15:$XFD$25,'SP export'!$A$21,)</f>
        <v>-1062190.8</v>
      </c>
      <c r="AP16" s="44">
        <f>HLOOKUP($A16,'SP export'!$G$15:$XFD$25,'SP export'!$A$22,)</f>
        <v>-21332963</v>
      </c>
      <c r="AQ16" s="44">
        <f>HLOOKUP($A16,'SP export'!$G$15:$XFD$25,'SP export'!$A$23,)</f>
        <v>-103125.92</v>
      </c>
      <c r="AS16" s="44"/>
    </row>
    <row r="17" spans="1:45" ht="56" customHeight="1">
      <c r="A17" s="20" t="s">
        <v>934</v>
      </c>
      <c r="B17" s="20">
        <v>29</v>
      </c>
      <c r="C17" s="24" t="s">
        <v>77</v>
      </c>
      <c r="D17" s="25" t="s">
        <v>78</v>
      </c>
      <c r="E17" s="22" t="s">
        <v>43</v>
      </c>
      <c r="F17" s="25" t="s">
        <v>19</v>
      </c>
      <c r="G17" s="21" t="s">
        <v>425</v>
      </c>
      <c r="H17" s="24" t="s">
        <v>874</v>
      </c>
      <c r="I17" s="24" t="s">
        <v>874</v>
      </c>
      <c r="J17" s="48" t="s">
        <v>878</v>
      </c>
      <c r="K17" s="24"/>
      <c r="L17" s="21" t="s">
        <v>474</v>
      </c>
      <c r="M17" s="21" t="s">
        <v>554</v>
      </c>
      <c r="N17" s="21">
        <v>18</v>
      </c>
      <c r="O17" s="21" t="s">
        <v>476</v>
      </c>
      <c r="P17" s="21"/>
      <c r="Q17" s="21" t="s">
        <v>532</v>
      </c>
      <c r="R17" s="21" t="s">
        <v>407</v>
      </c>
      <c r="S17" s="21" t="s">
        <v>408</v>
      </c>
      <c r="T17" s="21" t="s">
        <v>434</v>
      </c>
      <c r="U17" s="21">
        <v>268</v>
      </c>
      <c r="V17" s="21" t="s">
        <v>445</v>
      </c>
      <c r="W17" s="21">
        <v>268</v>
      </c>
      <c r="X17" s="21" t="s">
        <v>546</v>
      </c>
      <c r="Y17" s="37" t="s">
        <v>1071</v>
      </c>
      <c r="Z17" s="24" t="s">
        <v>1049</v>
      </c>
      <c r="AA17" s="24" t="s">
        <v>1050</v>
      </c>
      <c r="AB17" s="70">
        <f>AVERAGE(3720000,9300000)</f>
        <v>6510000</v>
      </c>
      <c r="AC17" s="25" t="s">
        <v>17</v>
      </c>
      <c r="AD17" s="22" t="s">
        <v>378</v>
      </c>
      <c r="AE17" s="26" t="s">
        <v>41</v>
      </c>
      <c r="AF17" s="25" t="s">
        <v>148</v>
      </c>
      <c r="AG17" s="25" t="s">
        <v>20</v>
      </c>
      <c r="AH17" s="24" t="s">
        <v>379</v>
      </c>
      <c r="AI17" s="24" t="s">
        <v>1070</v>
      </c>
      <c r="AJ17" s="60" t="s">
        <v>875</v>
      </c>
      <c r="AK17" s="23"/>
      <c r="AL17" s="23"/>
      <c r="AM17" s="44">
        <f>HLOOKUP($A17,'SP export'!$G$15:$XFD$25,'SP export'!$A$19,)</f>
        <v>-4297804.7</v>
      </c>
      <c r="AN17" s="44">
        <f>HLOOKUP($A17,'SP export'!$G$15:$XFD$25,'SP export'!$A$20,)</f>
        <v>-139.95343</v>
      </c>
      <c r="AO17" s="44">
        <f>HLOOKUP($A17,'SP export'!$G$15:$XFD$25,'SP export'!$A$21,)</f>
        <v>-30942968</v>
      </c>
      <c r="AP17" s="44">
        <f>HLOOKUP($A17,'SP export'!$G$15:$XFD$25,'SP export'!$A$22,)</f>
        <v>-82922322</v>
      </c>
      <c r="AQ17" s="44">
        <f>HLOOKUP($A17,'SP export'!$G$15:$XFD$25,'SP export'!$A$23,)</f>
        <v>-124140.43</v>
      </c>
      <c r="AS17" s="44"/>
    </row>
    <row r="18" spans="1:45" ht="56" customHeight="1">
      <c r="A18" s="20" t="s">
        <v>935</v>
      </c>
      <c r="B18" s="20">
        <v>30</v>
      </c>
      <c r="C18" s="24" t="s">
        <v>72</v>
      </c>
      <c r="D18" s="25" t="s">
        <v>79</v>
      </c>
      <c r="E18" s="22" t="s">
        <v>43</v>
      </c>
      <c r="F18" s="25" t="s">
        <v>19</v>
      </c>
      <c r="G18" s="21" t="s">
        <v>391</v>
      </c>
      <c r="H18" s="24" t="s">
        <v>874</v>
      </c>
      <c r="I18" s="24" t="s">
        <v>874</v>
      </c>
      <c r="J18" s="48" t="s">
        <v>875</v>
      </c>
      <c r="K18" s="24" t="s">
        <v>1026</v>
      </c>
      <c r="L18" s="21" t="s">
        <v>493</v>
      </c>
      <c r="M18" s="21" t="s">
        <v>494</v>
      </c>
      <c r="N18" s="21">
        <v>86</v>
      </c>
      <c r="O18" s="21" t="s">
        <v>495</v>
      </c>
      <c r="P18" s="21">
        <v>86</v>
      </c>
      <c r="Q18" s="21" t="s">
        <v>496</v>
      </c>
      <c r="R18" s="21" t="s">
        <v>407</v>
      </c>
      <c r="S18" s="21" t="s">
        <v>408</v>
      </c>
      <c r="T18" s="21" t="s">
        <v>434</v>
      </c>
      <c r="U18" s="21">
        <v>268</v>
      </c>
      <c r="V18" s="21" t="s">
        <v>445</v>
      </c>
      <c r="W18" s="21">
        <v>268</v>
      </c>
      <c r="X18" s="21" t="s">
        <v>546</v>
      </c>
      <c r="Y18" s="37" t="s">
        <v>1073</v>
      </c>
      <c r="Z18" s="24" t="s">
        <v>1072</v>
      </c>
      <c r="AA18" s="24" t="s">
        <v>1051</v>
      </c>
      <c r="AB18" s="70">
        <f>AVERAGE(40302648,52326000)</f>
        <v>46314324</v>
      </c>
      <c r="AC18" s="25" t="s">
        <v>56</v>
      </c>
      <c r="AD18" s="22" t="s">
        <v>378</v>
      </c>
      <c r="AE18" s="26" t="s">
        <v>41</v>
      </c>
      <c r="AF18" s="25" t="s">
        <v>149</v>
      </c>
      <c r="AG18" s="25" t="s">
        <v>20</v>
      </c>
      <c r="AH18" s="24" t="s">
        <v>379</v>
      </c>
      <c r="AI18" s="24" t="s">
        <v>1074</v>
      </c>
      <c r="AJ18" s="60" t="s">
        <v>875</v>
      </c>
      <c r="AK18" s="23"/>
      <c r="AL18" s="23"/>
      <c r="AM18" s="44">
        <f>HLOOKUP($A18,'SP export'!$G$15:$XFD$25,'SP export'!$A$19,)</f>
        <v>-7496613500</v>
      </c>
      <c r="AN18" s="44">
        <f>HLOOKUP($A18,'SP export'!$G$15:$XFD$25,'SP export'!$A$20,)</f>
        <v>-12315.214</v>
      </c>
      <c r="AO18" s="44">
        <f>HLOOKUP($A18,'SP export'!$G$15:$XFD$25,'SP export'!$A$21,)</f>
        <v>-8138684400</v>
      </c>
      <c r="AP18" s="44">
        <f>HLOOKUP($A18,'SP export'!$G$15:$XFD$25,'SP export'!$A$22,)</f>
        <v>-119967390000</v>
      </c>
      <c r="AQ18" s="44">
        <f>HLOOKUP($A18,'SP export'!$G$15:$XFD$25,'SP export'!$A$23,)</f>
        <v>-241540440</v>
      </c>
      <c r="AS18" s="44"/>
    </row>
    <row r="19" spans="1:45" ht="56" customHeight="1">
      <c r="A19" s="20" t="s">
        <v>936</v>
      </c>
      <c r="B19" s="20">
        <v>34</v>
      </c>
      <c r="C19" s="24" t="s">
        <v>81</v>
      </c>
      <c r="D19" s="25" t="s">
        <v>82</v>
      </c>
      <c r="E19" s="22" t="s">
        <v>43</v>
      </c>
      <c r="F19" s="25" t="s">
        <v>19</v>
      </c>
      <c r="G19" s="21" t="s">
        <v>448</v>
      </c>
      <c r="H19" s="24" t="s">
        <v>874</v>
      </c>
      <c r="I19" s="24" t="s">
        <v>874</v>
      </c>
      <c r="J19" s="48" t="s">
        <v>878</v>
      </c>
      <c r="K19" s="24" t="s">
        <v>1029</v>
      </c>
      <c r="L19" s="21" t="s">
        <v>449</v>
      </c>
      <c r="M19" s="21" t="s">
        <v>450</v>
      </c>
      <c r="N19" s="21"/>
      <c r="O19" s="21" t="s">
        <v>451</v>
      </c>
      <c r="P19" s="21">
        <v>950</v>
      </c>
      <c r="Q19" s="21" t="s">
        <v>452</v>
      </c>
      <c r="R19" s="21" t="s">
        <v>391</v>
      </c>
      <c r="S19" s="21" t="s">
        <v>561</v>
      </c>
      <c r="T19" s="21" t="s">
        <v>562</v>
      </c>
      <c r="U19" s="21">
        <v>6</v>
      </c>
      <c r="V19" s="21" t="s">
        <v>563</v>
      </c>
      <c r="W19" s="21">
        <v>6</v>
      </c>
      <c r="X19" s="21" t="s">
        <v>564</v>
      </c>
      <c r="Y19" s="24" t="s">
        <v>1075</v>
      </c>
      <c r="Z19" s="24" t="s">
        <v>1052</v>
      </c>
      <c r="AA19" s="24" t="s">
        <v>1053</v>
      </c>
      <c r="AB19" s="70">
        <f>4052000*0.1116</f>
        <v>452203.2</v>
      </c>
      <c r="AC19" s="25" t="s">
        <v>17</v>
      </c>
      <c r="AD19" s="22" t="s">
        <v>378</v>
      </c>
      <c r="AE19" s="26" t="s">
        <v>41</v>
      </c>
      <c r="AF19" s="25" t="s">
        <v>368</v>
      </c>
      <c r="AG19" s="25" t="s">
        <v>20</v>
      </c>
      <c r="AH19" s="24" t="s">
        <v>379</v>
      </c>
      <c r="AI19" s="24" t="s">
        <v>1242</v>
      </c>
      <c r="AJ19" s="60" t="s">
        <v>875</v>
      </c>
      <c r="AK19" s="23"/>
      <c r="AL19" s="22"/>
      <c r="AM19" s="44">
        <f>HLOOKUP($A19,'SP export'!$G$15:$XFD$25,'SP export'!$A$19,)</f>
        <v>-16556957</v>
      </c>
      <c r="AN19" s="44">
        <f>HLOOKUP($A19,'SP export'!$G$15:$XFD$25,'SP export'!$A$20,)</f>
        <v>-244.89227</v>
      </c>
      <c r="AO19" s="44">
        <f>HLOOKUP($A19,'SP export'!$G$15:$XFD$25,'SP export'!$A$21,)</f>
        <v>-59764167</v>
      </c>
      <c r="AP19" s="44">
        <f>HLOOKUP($A19,'SP export'!$G$15:$XFD$25,'SP export'!$A$22,)</f>
        <v>-367852000</v>
      </c>
      <c r="AQ19" s="44">
        <f>HLOOKUP($A19,'SP export'!$G$15:$XFD$25,'SP export'!$A$23,)</f>
        <v>-629174.18999999994</v>
      </c>
      <c r="AS19" s="44"/>
    </row>
    <row r="20" spans="1:45" ht="56" customHeight="1">
      <c r="A20" s="20" t="s">
        <v>937</v>
      </c>
      <c r="B20" s="20">
        <v>35</v>
      </c>
      <c r="C20" s="24" t="s">
        <v>83</v>
      </c>
      <c r="D20" s="25" t="s">
        <v>79</v>
      </c>
      <c r="E20" s="22" t="s">
        <v>43</v>
      </c>
      <c r="F20" s="25" t="s">
        <v>19</v>
      </c>
      <c r="G20" s="21" t="s">
        <v>391</v>
      </c>
      <c r="H20" s="24" t="s">
        <v>874</v>
      </c>
      <c r="I20" s="24" t="s">
        <v>874</v>
      </c>
      <c r="J20" s="48" t="s">
        <v>875</v>
      </c>
      <c r="K20" s="24" t="s">
        <v>1030</v>
      </c>
      <c r="L20" s="21" t="s">
        <v>422</v>
      </c>
      <c r="M20" s="21" t="s">
        <v>423</v>
      </c>
      <c r="N20" s="21">
        <v>231</v>
      </c>
      <c r="O20" s="21" t="s">
        <v>504</v>
      </c>
      <c r="P20" s="21">
        <v>231</v>
      </c>
      <c r="Q20" s="21" t="s">
        <v>505</v>
      </c>
      <c r="R20" s="21" t="s">
        <v>407</v>
      </c>
      <c r="S20" s="21" t="s">
        <v>408</v>
      </c>
      <c r="T20" s="21" t="s">
        <v>444</v>
      </c>
      <c r="U20" s="21">
        <v>268</v>
      </c>
      <c r="V20" s="21" t="s">
        <v>445</v>
      </c>
      <c r="W20" s="21">
        <v>268</v>
      </c>
      <c r="X20" s="21" t="s">
        <v>446</v>
      </c>
      <c r="Y20" s="37" t="s">
        <v>1020</v>
      </c>
      <c r="Z20" s="24" t="s">
        <v>1161</v>
      </c>
      <c r="AA20" s="24" t="s">
        <v>1054</v>
      </c>
      <c r="AB20" s="70">
        <f>AVERAGE(4963800,22337100)</f>
        <v>13650450</v>
      </c>
      <c r="AC20" s="25" t="s">
        <v>56</v>
      </c>
      <c r="AD20" s="22" t="s">
        <v>378</v>
      </c>
      <c r="AE20" s="26" t="s">
        <v>41</v>
      </c>
      <c r="AF20" s="25" t="s">
        <v>156</v>
      </c>
      <c r="AG20" s="25" t="s">
        <v>20</v>
      </c>
      <c r="AH20" s="24" t="s">
        <v>379</v>
      </c>
      <c r="AI20" s="24" t="s">
        <v>1077</v>
      </c>
      <c r="AJ20" s="60" t="s">
        <v>875</v>
      </c>
      <c r="AK20" s="23"/>
      <c r="AL20" s="23"/>
      <c r="AM20" s="44">
        <f>HLOOKUP($A20,'SP export'!$G$15:$XFD$25,'SP export'!$A$19,)</f>
        <v>-5041695900</v>
      </c>
      <c r="AN20" s="44">
        <f>HLOOKUP($A20,'SP export'!$G$15:$XFD$25,'SP export'!$A$20,)</f>
        <v>-2991.0196999999998</v>
      </c>
      <c r="AO20" s="44">
        <f>HLOOKUP($A20,'SP export'!$G$15:$XFD$25,'SP export'!$A$21,)</f>
        <v>-1467892500</v>
      </c>
      <c r="AP20" s="44">
        <f>HLOOKUP($A20,'SP export'!$G$15:$XFD$25,'SP export'!$A$22,)</f>
        <v>-41413106000</v>
      </c>
      <c r="AQ20" s="44">
        <f>HLOOKUP($A20,'SP export'!$G$15:$XFD$25,'SP export'!$A$23,)</f>
        <v>-59605356</v>
      </c>
      <c r="AS20" s="44"/>
    </row>
    <row r="21" spans="1:45" ht="56" customHeight="1">
      <c r="A21" s="20" t="s">
        <v>938</v>
      </c>
      <c r="B21" s="20">
        <v>36</v>
      </c>
      <c r="C21" s="24" t="s">
        <v>66</v>
      </c>
      <c r="D21" s="25" t="s">
        <v>66</v>
      </c>
      <c r="E21" s="22" t="s">
        <v>43</v>
      </c>
      <c r="F21" s="25" t="s">
        <v>19</v>
      </c>
      <c r="G21" s="21" t="s">
        <v>499</v>
      </c>
      <c r="H21" s="24" t="s">
        <v>874</v>
      </c>
      <c r="I21" s="24" t="s">
        <v>874</v>
      </c>
      <c r="J21" s="48" t="s">
        <v>875</v>
      </c>
      <c r="K21" s="24"/>
      <c r="L21" s="21" t="s">
        <v>500</v>
      </c>
      <c r="M21" s="21" t="s">
        <v>501</v>
      </c>
      <c r="N21" s="21">
        <v>192</v>
      </c>
      <c r="O21" s="21" t="s">
        <v>502</v>
      </c>
      <c r="P21" s="21">
        <v>77</v>
      </c>
      <c r="Q21" s="21" t="s">
        <v>503</v>
      </c>
      <c r="R21" s="21" t="s">
        <v>556</v>
      </c>
      <c r="S21" s="21" t="s">
        <v>565</v>
      </c>
      <c r="T21" s="21" t="s">
        <v>566</v>
      </c>
      <c r="U21" s="21">
        <v>467</v>
      </c>
      <c r="V21" s="21" t="s">
        <v>567</v>
      </c>
      <c r="W21" s="21"/>
      <c r="X21" s="21"/>
      <c r="Y21" s="37" t="s">
        <v>865</v>
      </c>
      <c r="Z21" s="24" t="s">
        <v>1037</v>
      </c>
      <c r="AA21" s="24" t="s">
        <v>217</v>
      </c>
      <c r="AB21" s="70">
        <f>AVERAGE(252000,504000)</f>
        <v>378000</v>
      </c>
      <c r="AC21" s="25" t="s">
        <v>17</v>
      </c>
      <c r="AD21" s="22" t="s">
        <v>378</v>
      </c>
      <c r="AE21" s="26" t="s">
        <v>41</v>
      </c>
      <c r="AF21" s="25" t="s">
        <v>157</v>
      </c>
      <c r="AG21" s="25" t="s">
        <v>20</v>
      </c>
      <c r="AH21" s="24" t="s">
        <v>379</v>
      </c>
      <c r="AI21" s="24" t="s">
        <v>547</v>
      </c>
      <c r="AJ21" s="60" t="s">
        <v>875</v>
      </c>
      <c r="AK21" s="23"/>
      <c r="AL21" s="23"/>
      <c r="AM21" s="44">
        <f>HLOOKUP($A21,'SP export'!$G$15:$XFD$25,'SP export'!$A$19,)</f>
        <v>-16775083</v>
      </c>
      <c r="AN21" s="44">
        <f>HLOOKUP($A21,'SP export'!$G$15:$XFD$25,'SP export'!$A$20,)</f>
        <v>-20.833348999999998</v>
      </c>
      <c r="AO21" s="44">
        <f>HLOOKUP($A21,'SP export'!$G$15:$XFD$25,'SP export'!$A$21,)</f>
        <v>-9089753</v>
      </c>
      <c r="AP21" s="44">
        <f>HLOOKUP($A21,'SP export'!$G$15:$XFD$25,'SP export'!$A$22,)</f>
        <v>-245875920</v>
      </c>
      <c r="AQ21" s="44">
        <f>HLOOKUP($A21,'SP export'!$G$15:$XFD$25,'SP export'!$A$23,)</f>
        <v>-1651017.2</v>
      </c>
      <c r="AS21" s="44"/>
    </row>
    <row r="22" spans="1:45" ht="56" customHeight="1">
      <c r="A22" s="20" t="s">
        <v>939</v>
      </c>
      <c r="B22" s="20">
        <v>40</v>
      </c>
      <c r="C22" s="24" t="s">
        <v>72</v>
      </c>
      <c r="D22" s="25" t="s">
        <v>165</v>
      </c>
      <c r="E22" s="22" t="s">
        <v>43</v>
      </c>
      <c r="F22" s="25" t="s">
        <v>19</v>
      </c>
      <c r="G22" s="21" t="s">
        <v>391</v>
      </c>
      <c r="H22" s="24" t="s">
        <v>874</v>
      </c>
      <c r="I22" s="24" t="s">
        <v>874</v>
      </c>
      <c r="J22" s="48" t="s">
        <v>878</v>
      </c>
      <c r="K22" s="24" t="s">
        <v>1026</v>
      </c>
      <c r="L22" s="21" t="s">
        <v>493</v>
      </c>
      <c r="M22" s="21" t="s">
        <v>494</v>
      </c>
      <c r="N22" s="21">
        <v>86</v>
      </c>
      <c r="O22" s="21" t="s">
        <v>495</v>
      </c>
      <c r="P22" s="21">
        <v>86</v>
      </c>
      <c r="Q22" s="21" t="s">
        <v>496</v>
      </c>
      <c r="R22" s="21" t="s">
        <v>425</v>
      </c>
      <c r="S22" s="21" t="s">
        <v>453</v>
      </c>
      <c r="T22" s="21" t="s">
        <v>577</v>
      </c>
      <c r="U22" s="21">
        <v>104</v>
      </c>
      <c r="V22" s="21" t="s">
        <v>455</v>
      </c>
      <c r="W22" s="21">
        <v>103.99999999999999</v>
      </c>
      <c r="X22" s="21" t="s">
        <v>456</v>
      </c>
      <c r="Y22" s="21" t="s">
        <v>138</v>
      </c>
      <c r="Z22" s="24" t="s">
        <v>1041</v>
      </c>
      <c r="AA22" s="37" t="s">
        <v>1055</v>
      </c>
      <c r="AB22" s="70">
        <v>60000</v>
      </c>
      <c r="AC22" s="25" t="s">
        <v>50</v>
      </c>
      <c r="AD22" s="22" t="s">
        <v>766</v>
      </c>
      <c r="AE22" s="26" t="s">
        <v>41</v>
      </c>
      <c r="AF22" s="25" t="s">
        <v>169</v>
      </c>
      <c r="AG22" s="25" t="s">
        <v>20</v>
      </c>
      <c r="AH22" s="24" t="s">
        <v>379</v>
      </c>
      <c r="AI22" s="24" t="s">
        <v>1078</v>
      </c>
      <c r="AJ22" s="60" t="s">
        <v>875</v>
      </c>
      <c r="AK22" s="23"/>
      <c r="AL22" s="23"/>
      <c r="AM22" s="44">
        <f>HLOOKUP($A22,'SP export'!$G$15:$XFD$25,'SP export'!$A$19,)</f>
        <v>-28333812</v>
      </c>
      <c r="AN22" s="44">
        <f>HLOOKUP($A22,'SP export'!$G$15:$XFD$25,'SP export'!$A$20,)</f>
        <v>-24.491246</v>
      </c>
      <c r="AO22" s="44">
        <f>HLOOKUP($A22,'SP export'!$G$15:$XFD$25,'SP export'!$A$21,)</f>
        <v>-10349157</v>
      </c>
      <c r="AP22" s="44">
        <f>HLOOKUP($A22,'SP export'!$G$15:$XFD$25,'SP export'!$A$22,)</f>
        <v>-278076030</v>
      </c>
      <c r="AQ22" s="44">
        <f>HLOOKUP($A22,'SP export'!$G$15:$XFD$25,'SP export'!$A$23,)</f>
        <v>-1607133.4</v>
      </c>
      <c r="AS22" s="44"/>
    </row>
    <row r="23" spans="1:45" ht="56" customHeight="1">
      <c r="A23" s="20" t="s">
        <v>940</v>
      </c>
      <c r="B23" s="20">
        <v>44</v>
      </c>
      <c r="C23" s="24" t="s">
        <v>76</v>
      </c>
      <c r="D23" s="25" t="s">
        <v>76</v>
      </c>
      <c r="E23" s="22" t="s">
        <v>43</v>
      </c>
      <c r="F23" s="25" t="s">
        <v>19</v>
      </c>
      <c r="G23" s="21" t="s">
        <v>463</v>
      </c>
      <c r="H23" s="24" t="s">
        <v>874</v>
      </c>
      <c r="I23" s="24" t="s">
        <v>874</v>
      </c>
      <c r="J23" s="48" t="s">
        <v>875</v>
      </c>
      <c r="K23" s="24"/>
      <c r="L23" s="21" t="s">
        <v>550</v>
      </c>
      <c r="M23" s="21" t="s">
        <v>551</v>
      </c>
      <c r="N23" s="21">
        <v>18</v>
      </c>
      <c r="O23" s="21" t="s">
        <v>552</v>
      </c>
      <c r="P23" s="21">
        <v>18</v>
      </c>
      <c r="Q23" s="21" t="s">
        <v>552</v>
      </c>
      <c r="R23" s="21" t="s">
        <v>425</v>
      </c>
      <c r="S23" s="21" t="s">
        <v>474</v>
      </c>
      <c r="T23" s="21" t="s">
        <v>582</v>
      </c>
      <c r="U23" s="21">
        <v>18</v>
      </c>
      <c r="V23" s="21" t="s">
        <v>476</v>
      </c>
      <c r="W23" s="21"/>
      <c r="X23" s="21" t="s">
        <v>532</v>
      </c>
      <c r="Y23" s="37" t="s">
        <v>1069</v>
      </c>
      <c r="Z23" s="24" t="s">
        <v>1047</v>
      </c>
      <c r="AA23" s="21" t="s">
        <v>583</v>
      </c>
      <c r="AB23" s="70">
        <f>AVERAGE(16587,77406)</f>
        <v>46996.5</v>
      </c>
      <c r="AC23" s="25" t="s">
        <v>50</v>
      </c>
      <c r="AD23" s="22" t="s">
        <v>766</v>
      </c>
      <c r="AE23" s="26" t="s">
        <v>41</v>
      </c>
      <c r="AF23" s="25" t="s">
        <v>179</v>
      </c>
      <c r="AG23" s="25" t="s">
        <v>20</v>
      </c>
      <c r="AH23" s="24" t="s">
        <v>379</v>
      </c>
      <c r="AI23" s="24" t="s">
        <v>553</v>
      </c>
      <c r="AJ23" s="60" t="s">
        <v>875</v>
      </c>
      <c r="AK23" s="23"/>
      <c r="AL23" s="23"/>
      <c r="AM23" s="44">
        <f>HLOOKUP($A23,'SP export'!$G$15:$XFD$25,'SP export'!$A$19,)</f>
        <v>-1767716.3</v>
      </c>
      <c r="AN23" s="44">
        <f>HLOOKUP($A23,'SP export'!$G$15:$XFD$25,'SP export'!$A$20,)</f>
        <v>-7.24857</v>
      </c>
      <c r="AO23" s="44">
        <f>HLOOKUP($A23,'SP export'!$G$15:$XFD$25,'SP export'!$A$21,)</f>
        <v>-1272860.3</v>
      </c>
      <c r="AP23" s="44">
        <f>HLOOKUP($A23,'SP export'!$G$15:$XFD$25,'SP export'!$A$22,)</f>
        <v>-28721048</v>
      </c>
      <c r="AQ23" s="44">
        <f>HLOOKUP($A23,'SP export'!$G$15:$XFD$25,'SP export'!$A$23,)</f>
        <v>-130910.28</v>
      </c>
      <c r="AS23" s="44"/>
    </row>
    <row r="24" spans="1:45" ht="56" customHeight="1">
      <c r="A24" s="20" t="s">
        <v>941</v>
      </c>
      <c r="B24" s="20">
        <v>47</v>
      </c>
      <c r="C24" s="24" t="s">
        <v>11</v>
      </c>
      <c r="D24" s="25" t="s">
        <v>11</v>
      </c>
      <c r="E24" s="22" t="s">
        <v>21</v>
      </c>
      <c r="F24" s="25" t="s">
        <v>34</v>
      </c>
      <c r="G24" s="21" t="s">
        <v>391</v>
      </c>
      <c r="H24" s="24" t="s">
        <v>1021</v>
      </c>
      <c r="I24" s="24" t="s">
        <v>1021</v>
      </c>
      <c r="J24" s="48" t="s">
        <v>875</v>
      </c>
      <c r="K24" s="24" t="s">
        <v>1031</v>
      </c>
      <c r="L24" s="21" t="s">
        <v>392</v>
      </c>
      <c r="M24" s="21" t="s">
        <v>392</v>
      </c>
      <c r="N24" s="21">
        <v>38</v>
      </c>
      <c r="O24" s="21" t="s">
        <v>507</v>
      </c>
      <c r="P24" s="21"/>
      <c r="Q24" s="21" t="s">
        <v>508</v>
      </c>
      <c r="R24" s="21" t="s">
        <v>448</v>
      </c>
      <c r="S24" s="21" t="s">
        <v>584</v>
      </c>
      <c r="T24" s="21" t="s">
        <v>585</v>
      </c>
      <c r="U24" s="21"/>
      <c r="V24" s="21" t="s">
        <v>586</v>
      </c>
      <c r="W24" s="21"/>
      <c r="X24" s="21" t="s">
        <v>532</v>
      </c>
      <c r="Y24" s="24" t="s">
        <v>1081</v>
      </c>
      <c r="Z24" s="24" t="s">
        <v>1056</v>
      </c>
      <c r="AA24" s="37" t="s">
        <v>1090</v>
      </c>
      <c r="AB24" s="70">
        <f>AVERAGE(8104427329,11661370435)*(0.32*0.8/1000+0.55*0.0899/1000)</f>
        <v>3018682.0490124901</v>
      </c>
      <c r="AC24" s="25" t="s">
        <v>56</v>
      </c>
      <c r="AD24" s="22" t="s">
        <v>766</v>
      </c>
      <c r="AE24" s="26" t="s">
        <v>41</v>
      </c>
      <c r="AF24" s="25" t="s">
        <v>183</v>
      </c>
      <c r="AG24" s="25" t="s">
        <v>20</v>
      </c>
      <c r="AH24" s="24" t="s">
        <v>399</v>
      </c>
      <c r="AI24" s="24" t="s">
        <v>400</v>
      </c>
      <c r="AJ24" s="60" t="s">
        <v>875</v>
      </c>
      <c r="AK24" s="23"/>
      <c r="AL24" s="23"/>
      <c r="AM24" s="44">
        <f>HLOOKUP($A24,'SP export'!$G$15:$XFD$25,'SP export'!$A$19,)</f>
        <v>-13201569000</v>
      </c>
      <c r="AN24" s="44">
        <f>HLOOKUP($A24,'SP export'!$G$15:$XFD$25,'SP export'!$A$20,)</f>
        <v>-15059.264999999999</v>
      </c>
      <c r="AO24" s="44">
        <f>HLOOKUP($A24,'SP export'!$G$15:$XFD$25,'SP export'!$A$21,)</f>
        <v>-2936777200</v>
      </c>
      <c r="AP24" s="44">
        <f>HLOOKUP($A24,'SP export'!$G$15:$XFD$25,'SP export'!$A$22,)</f>
        <v>-63603778000</v>
      </c>
      <c r="AQ24" s="44">
        <f>HLOOKUP($A24,'SP export'!$G$15:$XFD$25,'SP export'!$A$23,)</f>
        <v>-191136960</v>
      </c>
      <c r="AS24" s="44"/>
    </row>
    <row r="25" spans="1:45" ht="56" customHeight="1">
      <c r="A25" s="20" t="s">
        <v>942</v>
      </c>
      <c r="B25" s="20">
        <v>48</v>
      </c>
      <c r="C25" s="24" t="s">
        <v>176</v>
      </c>
      <c r="D25" s="25" t="s">
        <v>176</v>
      </c>
      <c r="E25" s="22" t="s">
        <v>21</v>
      </c>
      <c r="F25" s="25" t="s">
        <v>34</v>
      </c>
      <c r="G25" s="21" t="s">
        <v>391</v>
      </c>
      <c r="H25" s="24" t="s">
        <v>1021</v>
      </c>
      <c r="I25" s="24" t="s">
        <v>1021</v>
      </c>
      <c r="J25" s="48" t="s">
        <v>875</v>
      </c>
      <c r="K25" s="24" t="s">
        <v>1032</v>
      </c>
      <c r="L25" s="21" t="s">
        <v>493</v>
      </c>
      <c r="M25" s="21" t="s">
        <v>494</v>
      </c>
      <c r="N25" s="21">
        <v>86</v>
      </c>
      <c r="O25" s="21" t="s">
        <v>495</v>
      </c>
      <c r="P25" s="21">
        <v>86</v>
      </c>
      <c r="Q25" s="21" t="s">
        <v>496</v>
      </c>
      <c r="R25" s="21" t="s">
        <v>448</v>
      </c>
      <c r="S25" s="21" t="s">
        <v>584</v>
      </c>
      <c r="T25" s="21" t="s">
        <v>585</v>
      </c>
      <c r="U25" s="21"/>
      <c r="V25" s="21" t="s">
        <v>586</v>
      </c>
      <c r="W25" s="21"/>
      <c r="X25" s="21" t="s">
        <v>532</v>
      </c>
      <c r="Y25" s="24" t="s">
        <v>184</v>
      </c>
      <c r="Z25" s="24" t="s">
        <v>1057</v>
      </c>
      <c r="AA25" s="37" t="s">
        <v>1080</v>
      </c>
      <c r="AB25" s="70">
        <f>AVERAGE(9013505590,23111552795)*0.03*0.0899/1000</f>
        <v>43320.6412321725</v>
      </c>
      <c r="AC25" s="25" t="s">
        <v>56</v>
      </c>
      <c r="AD25" s="22" t="s">
        <v>766</v>
      </c>
      <c r="AE25" s="26" t="s">
        <v>41</v>
      </c>
      <c r="AF25" s="25" t="s">
        <v>185</v>
      </c>
      <c r="AG25" s="25" t="s">
        <v>20</v>
      </c>
      <c r="AH25" s="24" t="s">
        <v>587</v>
      </c>
      <c r="AI25" s="24" t="s">
        <v>588</v>
      </c>
      <c r="AJ25" s="61" t="s">
        <v>875</v>
      </c>
      <c r="AK25" s="23"/>
      <c r="AL25" s="22"/>
      <c r="AM25" s="44">
        <f>HLOOKUP($A25,'SP export'!$G$15:$XFD$25,'SP export'!$A$19,)</f>
        <v>-96388848</v>
      </c>
      <c r="AN25" s="44">
        <f>HLOOKUP($A25,'SP export'!$G$15:$XFD$25,'SP export'!$A$20,)</f>
        <v>-39.966813999999999</v>
      </c>
      <c r="AO25" s="44">
        <f>HLOOKUP($A25,'SP export'!$G$15:$XFD$25,'SP export'!$A$21,)</f>
        <v>-8288040.2000000002</v>
      </c>
      <c r="AP25" s="44">
        <f>HLOOKUP($A25,'SP export'!$G$15:$XFD$25,'SP export'!$A$22,)</f>
        <v>-3446385900</v>
      </c>
      <c r="AQ25" s="44">
        <f>HLOOKUP($A25,'SP export'!$G$15:$XFD$25,'SP export'!$A$23,)</f>
        <v>-6837333</v>
      </c>
      <c r="AS25" s="44"/>
    </row>
    <row r="26" spans="1:45" ht="56" customHeight="1">
      <c r="A26" s="20" t="s">
        <v>943</v>
      </c>
      <c r="B26" s="20">
        <v>49</v>
      </c>
      <c r="C26" s="24" t="s">
        <v>177</v>
      </c>
      <c r="D26" s="25" t="s">
        <v>177</v>
      </c>
      <c r="E26" s="22" t="s">
        <v>21</v>
      </c>
      <c r="F26" s="25" t="s">
        <v>34</v>
      </c>
      <c r="G26" s="21" t="s">
        <v>391</v>
      </c>
      <c r="H26" s="24" t="s">
        <v>1021</v>
      </c>
      <c r="I26" s="24" t="s">
        <v>1021</v>
      </c>
      <c r="J26" s="48" t="s">
        <v>875</v>
      </c>
      <c r="K26" s="24" t="s">
        <v>1031</v>
      </c>
      <c r="L26" s="21" t="s">
        <v>431</v>
      </c>
      <c r="M26" s="21" t="s">
        <v>432</v>
      </c>
      <c r="N26" s="21">
        <v>101</v>
      </c>
      <c r="O26" s="21" t="s">
        <v>528</v>
      </c>
      <c r="P26" s="21">
        <v>101</v>
      </c>
      <c r="Q26" s="21" t="s">
        <v>529</v>
      </c>
      <c r="R26" s="21" t="s">
        <v>448</v>
      </c>
      <c r="S26" s="21" t="s">
        <v>584</v>
      </c>
      <c r="T26" s="21" t="s">
        <v>585</v>
      </c>
      <c r="U26" s="21"/>
      <c r="V26" s="21" t="s">
        <v>586</v>
      </c>
      <c r="W26" s="21"/>
      <c r="X26" s="21" t="s">
        <v>532</v>
      </c>
      <c r="Y26" s="24" t="s">
        <v>186</v>
      </c>
      <c r="Z26" s="24" t="s">
        <v>1058</v>
      </c>
      <c r="AA26" s="21" t="s">
        <v>1079</v>
      </c>
      <c r="AB26" s="70">
        <f>AVERAGE(7611200000,16240800000)*0.033*0.0899/1000</f>
        <v>35380.864199999996</v>
      </c>
      <c r="AC26" s="25" t="s">
        <v>56</v>
      </c>
      <c r="AD26" s="22" t="s">
        <v>766</v>
      </c>
      <c r="AE26" s="26" t="s">
        <v>41</v>
      </c>
      <c r="AF26" s="25" t="s">
        <v>187</v>
      </c>
      <c r="AG26" s="25" t="s">
        <v>20</v>
      </c>
      <c r="AH26" s="24" t="s">
        <v>589</v>
      </c>
      <c r="AI26" s="24" t="s">
        <v>1261</v>
      </c>
      <c r="AJ26" s="61" t="s">
        <v>875</v>
      </c>
      <c r="AK26" s="23"/>
      <c r="AL26" s="22"/>
      <c r="AM26" s="44">
        <f>HLOOKUP($A26,'SP export'!$G$15:$XFD$25,'SP export'!$A$19,)</f>
        <v>-78722417</v>
      </c>
      <c r="AN26" s="44">
        <f>HLOOKUP($A26,'SP export'!$G$15:$XFD$25,'SP export'!$A$20,)</f>
        <v>-32.641579</v>
      </c>
      <c r="AO26" s="44">
        <f>HLOOKUP($A26,'SP export'!$G$15:$XFD$25,'SP export'!$A$21,)</f>
        <v>-6768983.7999999998</v>
      </c>
      <c r="AP26" s="44">
        <f>HLOOKUP($A26,'SP export'!$G$15:$XFD$25,'SP export'!$A$22,)</f>
        <v>-2814722200</v>
      </c>
      <c r="AQ26" s="44">
        <f>HLOOKUP($A26,'SP export'!$G$15:$XFD$25,'SP export'!$A$23,)</f>
        <v>-5584166.5999999996</v>
      </c>
      <c r="AS26" s="44"/>
    </row>
    <row r="27" spans="1:45" ht="56" customHeight="1">
      <c r="A27" s="20" t="s">
        <v>944</v>
      </c>
      <c r="B27" s="20">
        <v>50</v>
      </c>
      <c r="C27" s="24" t="s">
        <v>188</v>
      </c>
      <c r="D27" s="25" t="s">
        <v>188</v>
      </c>
      <c r="E27" s="22" t="s">
        <v>380</v>
      </c>
      <c r="F27" s="25" t="s">
        <v>19</v>
      </c>
      <c r="G27" s="21" t="s">
        <v>439</v>
      </c>
      <c r="H27" s="24" t="s">
        <v>874</v>
      </c>
      <c r="I27" s="24" t="s">
        <v>874</v>
      </c>
      <c r="J27" s="48" t="s">
        <v>875</v>
      </c>
      <c r="K27" s="24"/>
      <c r="L27" s="21" t="s">
        <v>590</v>
      </c>
      <c r="M27" s="21" t="s">
        <v>591</v>
      </c>
      <c r="N27" s="21"/>
      <c r="O27" s="21" t="s">
        <v>592</v>
      </c>
      <c r="P27" s="21"/>
      <c r="Q27" s="21" t="s">
        <v>593</v>
      </c>
      <c r="R27" s="21" t="s">
        <v>407</v>
      </c>
      <c r="S27" s="21" t="s">
        <v>408</v>
      </c>
      <c r="T27" s="21" t="s">
        <v>434</v>
      </c>
      <c r="U27" s="21">
        <v>268</v>
      </c>
      <c r="V27" s="21" t="s">
        <v>445</v>
      </c>
      <c r="W27" s="21">
        <v>267.99999999999994</v>
      </c>
      <c r="X27" s="21" t="s">
        <v>546</v>
      </c>
      <c r="Y27" s="37" t="s">
        <v>1019</v>
      </c>
      <c r="Z27" s="21"/>
      <c r="AA27" s="21" t="s">
        <v>217</v>
      </c>
      <c r="AB27" s="70">
        <f>AVERAGE(450000,2475000)</f>
        <v>1462500</v>
      </c>
      <c r="AC27" s="25" t="s">
        <v>17</v>
      </c>
      <c r="AD27" s="22" t="s">
        <v>766</v>
      </c>
      <c r="AE27" s="26" t="s">
        <v>41</v>
      </c>
      <c r="AF27" s="25" t="s">
        <v>191</v>
      </c>
      <c r="AG27" s="25" t="s">
        <v>20</v>
      </c>
      <c r="AH27" s="24" t="s">
        <v>379</v>
      </c>
      <c r="AI27" s="24" t="s">
        <v>594</v>
      </c>
      <c r="AJ27" s="60" t="s">
        <v>875</v>
      </c>
      <c r="AK27" s="23"/>
      <c r="AL27" s="23"/>
      <c r="AM27" s="44">
        <f>HLOOKUP($A27,'SP export'!$G$15:$XFD$25,'SP export'!$A$19,)</f>
        <v>-12276932</v>
      </c>
      <c r="AN27" s="44">
        <f>HLOOKUP($A27,'SP export'!$G$15:$XFD$25,'SP export'!$A$20,)</f>
        <v>-33.291727000000002</v>
      </c>
      <c r="AO27" s="44">
        <f>HLOOKUP($A27,'SP export'!$G$15:$XFD$25,'SP export'!$A$21,)</f>
        <v>-22313367</v>
      </c>
      <c r="AP27" s="44">
        <f>HLOOKUP($A27,'SP export'!$G$15:$XFD$25,'SP export'!$A$22,)</f>
        <v>-295621090</v>
      </c>
      <c r="AQ27" s="44">
        <f>HLOOKUP($A27,'SP export'!$G$15:$XFD$25,'SP export'!$A$23,)</f>
        <v>-722748.95</v>
      </c>
      <c r="AS27" s="44"/>
    </row>
    <row r="28" spans="1:45" s="8" customFormat="1" ht="56" customHeight="1">
      <c r="A28" s="47" t="s">
        <v>945</v>
      </c>
      <c r="B28" s="47">
        <v>60</v>
      </c>
      <c r="C28" s="24" t="s">
        <v>646</v>
      </c>
      <c r="D28" s="25" t="s">
        <v>214</v>
      </c>
      <c r="E28" s="25" t="s">
        <v>43</v>
      </c>
      <c r="F28" s="25" t="s">
        <v>19</v>
      </c>
      <c r="G28" s="25" t="s">
        <v>651</v>
      </c>
      <c r="H28" s="25" t="s">
        <v>1021</v>
      </c>
      <c r="I28" s="24" t="s">
        <v>1021</v>
      </c>
      <c r="J28" s="48" t="s">
        <v>875</v>
      </c>
      <c r="K28" s="25"/>
      <c r="L28" s="25" t="s">
        <v>652</v>
      </c>
      <c r="M28" s="25" t="s">
        <v>653</v>
      </c>
      <c r="N28" s="25">
        <v>172</v>
      </c>
      <c r="O28" s="25" t="s">
        <v>217</v>
      </c>
      <c r="P28" s="25" t="s">
        <v>217</v>
      </c>
      <c r="Q28" s="25" t="s">
        <v>217</v>
      </c>
      <c r="R28" s="25" t="s">
        <v>611</v>
      </c>
      <c r="S28" s="25" t="s">
        <v>654</v>
      </c>
      <c r="T28" s="25" t="s">
        <v>655</v>
      </c>
      <c r="U28" s="25">
        <v>29</v>
      </c>
      <c r="V28" s="25" t="s">
        <v>656</v>
      </c>
      <c r="W28" s="26">
        <v>17</v>
      </c>
      <c r="X28" s="25" t="s">
        <v>657</v>
      </c>
      <c r="Y28" s="26" t="s">
        <v>217</v>
      </c>
      <c r="Z28" s="26"/>
      <c r="AA28" s="25" t="s">
        <v>217</v>
      </c>
      <c r="AB28" s="70"/>
      <c r="AC28" s="25" t="s">
        <v>218</v>
      </c>
      <c r="AD28" s="25" t="s">
        <v>768</v>
      </c>
      <c r="AE28" s="26" t="s">
        <v>41</v>
      </c>
      <c r="AF28" s="25" t="s">
        <v>219</v>
      </c>
      <c r="AG28" s="26" t="s">
        <v>20</v>
      </c>
      <c r="AH28" s="26" t="s">
        <v>379</v>
      </c>
      <c r="AI28" s="25" t="s">
        <v>658</v>
      </c>
      <c r="AJ28" s="61" t="s">
        <v>878</v>
      </c>
      <c r="AK28" s="26" t="s">
        <v>1082</v>
      </c>
      <c r="AL28" s="25" t="s">
        <v>1221</v>
      </c>
      <c r="AM28" s="44">
        <f>HLOOKUP($A28,'SP export'!$G$15:$XFD$25,'SP export'!$A$19,)</f>
        <v>0</v>
      </c>
      <c r="AN28" s="44">
        <f>HLOOKUP($A28,'SP export'!$G$15:$XFD$25,'SP export'!$A$20,)</f>
        <v>0</v>
      </c>
      <c r="AO28" s="44">
        <f>HLOOKUP($A28,'SP export'!$G$15:$XFD$25,'SP export'!$A$21,)</f>
        <v>0</v>
      </c>
      <c r="AP28" s="44">
        <f>HLOOKUP($A28,'SP export'!$G$15:$XFD$25,'SP export'!$A$22,)</f>
        <v>0</v>
      </c>
      <c r="AQ28" s="44">
        <f>HLOOKUP($A28,'SP export'!$G$15:$XFD$25,'SP export'!$A$23,)</f>
        <v>0</v>
      </c>
      <c r="AS28" s="44"/>
    </row>
    <row r="29" spans="1:45" s="8" customFormat="1" ht="56" customHeight="1">
      <c r="A29" s="47" t="s">
        <v>946</v>
      </c>
      <c r="B29" s="47">
        <v>64</v>
      </c>
      <c r="C29" s="24" t="s">
        <v>235</v>
      </c>
      <c r="D29" s="25" t="s">
        <v>235</v>
      </c>
      <c r="E29" s="25" t="s">
        <v>43</v>
      </c>
      <c r="F29" s="25" t="s">
        <v>19</v>
      </c>
      <c r="G29" s="25" t="s">
        <v>674</v>
      </c>
      <c r="H29" s="25" t="s">
        <v>866</v>
      </c>
      <c r="I29" s="24" t="s">
        <v>874</v>
      </c>
      <c r="J29" s="48" t="s">
        <v>875</v>
      </c>
      <c r="K29" s="25"/>
      <c r="L29" s="25" t="s">
        <v>675</v>
      </c>
      <c r="M29" s="25" t="s">
        <v>676</v>
      </c>
      <c r="N29" s="25" t="s">
        <v>217</v>
      </c>
      <c r="O29" s="25" t="s">
        <v>217</v>
      </c>
      <c r="P29" s="25" t="s">
        <v>217</v>
      </c>
      <c r="Q29" s="25" t="s">
        <v>217</v>
      </c>
      <c r="R29" s="25" t="s">
        <v>439</v>
      </c>
      <c r="S29" s="25" t="s">
        <v>677</v>
      </c>
      <c r="T29" s="25" t="s">
        <v>678</v>
      </c>
      <c r="U29" s="25" t="s">
        <v>217</v>
      </c>
      <c r="V29" s="25" t="s">
        <v>217</v>
      </c>
      <c r="W29" s="25" t="s">
        <v>217</v>
      </c>
      <c r="X29" s="25" t="s">
        <v>217</v>
      </c>
      <c r="Y29" s="26" t="s">
        <v>238</v>
      </c>
      <c r="Z29" s="26"/>
      <c r="AA29" s="25" t="s">
        <v>217</v>
      </c>
      <c r="AB29" s="70"/>
      <c r="AC29" s="25" t="s">
        <v>222</v>
      </c>
      <c r="AD29" s="25" t="s">
        <v>768</v>
      </c>
      <c r="AE29" s="26" t="s">
        <v>41</v>
      </c>
      <c r="AF29" s="26" t="s">
        <v>240</v>
      </c>
      <c r="AG29" s="26" t="s">
        <v>20</v>
      </c>
      <c r="AH29" s="25" t="s">
        <v>379</v>
      </c>
      <c r="AI29" s="25" t="s">
        <v>379</v>
      </c>
      <c r="AJ29" s="61" t="s">
        <v>878</v>
      </c>
      <c r="AK29" s="26" t="s">
        <v>1082</v>
      </c>
      <c r="AL29" s="25" t="s">
        <v>1237</v>
      </c>
      <c r="AM29" s="44">
        <f>HLOOKUP($A29,'SP export'!$G$15:$XFD$25,'SP export'!$A$19,)</f>
        <v>0</v>
      </c>
      <c r="AN29" s="44">
        <f>HLOOKUP($A29,'SP export'!$G$15:$XFD$25,'SP export'!$A$20,)</f>
        <v>0</v>
      </c>
      <c r="AO29" s="44">
        <f>HLOOKUP($A29,'SP export'!$G$15:$XFD$25,'SP export'!$A$21,)</f>
        <v>0</v>
      </c>
      <c r="AP29" s="44">
        <f>HLOOKUP($A29,'SP export'!$G$15:$XFD$25,'SP export'!$A$22,)</f>
        <v>0</v>
      </c>
      <c r="AQ29" s="44">
        <f>HLOOKUP($A29,'SP export'!$G$15:$XFD$25,'SP export'!$A$23,)</f>
        <v>0</v>
      </c>
      <c r="AS29" s="44"/>
    </row>
    <row r="30" spans="1:45" s="8" customFormat="1" ht="56" customHeight="1">
      <c r="A30" s="47" t="s">
        <v>947</v>
      </c>
      <c r="B30" s="47">
        <v>65</v>
      </c>
      <c r="C30" s="24" t="s">
        <v>70</v>
      </c>
      <c r="D30" s="25" t="s">
        <v>70</v>
      </c>
      <c r="E30" s="25" t="s">
        <v>43</v>
      </c>
      <c r="F30" s="25" t="s">
        <v>19</v>
      </c>
      <c r="G30" s="25" t="s">
        <v>394</v>
      </c>
      <c r="H30" s="25" t="s">
        <v>866</v>
      </c>
      <c r="I30" s="24" t="s">
        <v>874</v>
      </c>
      <c r="J30" s="48" t="s">
        <v>875</v>
      </c>
      <c r="K30" s="25"/>
      <c r="L30" s="25" t="s">
        <v>525</v>
      </c>
      <c r="M30" s="25" t="s">
        <v>526</v>
      </c>
      <c r="N30" s="25">
        <v>309</v>
      </c>
      <c r="O30" s="25" t="s">
        <v>679</v>
      </c>
      <c r="P30" s="25">
        <v>309</v>
      </c>
      <c r="Q30" s="25" t="s">
        <v>679</v>
      </c>
      <c r="R30" s="25" t="s">
        <v>611</v>
      </c>
      <c r="S30" s="25" t="s">
        <v>680</v>
      </c>
      <c r="T30" s="25" t="s">
        <v>681</v>
      </c>
      <c r="U30" s="25" t="s">
        <v>217</v>
      </c>
      <c r="V30" s="25" t="s">
        <v>217</v>
      </c>
      <c r="W30" s="25" t="s">
        <v>217</v>
      </c>
      <c r="X30" s="25" t="s">
        <v>217</v>
      </c>
      <c r="Y30" s="26" t="s">
        <v>217</v>
      </c>
      <c r="Z30" s="26"/>
      <c r="AA30" s="25" t="s">
        <v>217</v>
      </c>
      <c r="AB30" s="70"/>
      <c r="AC30" s="25" t="s">
        <v>222</v>
      </c>
      <c r="AD30" s="25" t="s">
        <v>768</v>
      </c>
      <c r="AE30" s="26" t="s">
        <v>41</v>
      </c>
      <c r="AF30" s="26" t="s">
        <v>243</v>
      </c>
      <c r="AG30" s="26" t="s">
        <v>20</v>
      </c>
      <c r="AH30" s="25" t="s">
        <v>379</v>
      </c>
      <c r="AI30" s="25" t="s">
        <v>682</v>
      </c>
      <c r="AJ30" s="61" t="s">
        <v>878</v>
      </c>
      <c r="AK30" s="26" t="s">
        <v>1082</v>
      </c>
      <c r="AL30" s="25" t="s">
        <v>1221</v>
      </c>
      <c r="AM30" s="44">
        <f>HLOOKUP($A30,'SP export'!$G$15:$XFD$25,'SP export'!$A$19,)</f>
        <v>0</v>
      </c>
      <c r="AN30" s="44">
        <f>HLOOKUP($A30,'SP export'!$G$15:$XFD$25,'SP export'!$A$20,)</f>
        <v>0</v>
      </c>
      <c r="AO30" s="44">
        <f>HLOOKUP($A30,'SP export'!$G$15:$XFD$25,'SP export'!$A$21,)</f>
        <v>0</v>
      </c>
      <c r="AP30" s="44">
        <f>HLOOKUP($A30,'SP export'!$G$15:$XFD$25,'SP export'!$A$22,)</f>
        <v>0</v>
      </c>
      <c r="AQ30" s="44">
        <f>HLOOKUP($A30,'SP export'!$G$15:$XFD$25,'SP export'!$A$23,)</f>
        <v>0</v>
      </c>
      <c r="AS30" s="44"/>
    </row>
    <row r="31" spans="1:45" ht="56" customHeight="1">
      <c r="A31" s="20" t="s">
        <v>948</v>
      </c>
      <c r="B31" s="20">
        <v>66</v>
      </c>
      <c r="C31" s="24" t="s">
        <v>244</v>
      </c>
      <c r="D31" s="25" t="s">
        <v>245</v>
      </c>
      <c r="E31" s="25" t="s">
        <v>43</v>
      </c>
      <c r="F31" s="25" t="s">
        <v>19</v>
      </c>
      <c r="G31" s="25" t="s">
        <v>391</v>
      </c>
      <c r="H31" s="24" t="s">
        <v>874</v>
      </c>
      <c r="I31" s="24" t="s">
        <v>874</v>
      </c>
      <c r="J31" s="48" t="s">
        <v>878</v>
      </c>
      <c r="K31" s="48"/>
      <c r="L31" s="25" t="s">
        <v>493</v>
      </c>
      <c r="M31" s="25" t="s">
        <v>494</v>
      </c>
      <c r="N31" s="25">
        <v>86</v>
      </c>
      <c r="O31" s="25" t="s">
        <v>683</v>
      </c>
      <c r="P31" s="25">
        <v>86</v>
      </c>
      <c r="Q31" s="25" t="s">
        <v>683</v>
      </c>
      <c r="R31" s="25" t="s">
        <v>603</v>
      </c>
      <c r="S31" s="25" t="s">
        <v>684</v>
      </c>
      <c r="T31" s="25" t="s">
        <v>685</v>
      </c>
      <c r="U31" s="27">
        <v>1022</v>
      </c>
      <c r="V31" s="25" t="s">
        <v>686</v>
      </c>
      <c r="W31" s="27">
        <v>1022</v>
      </c>
      <c r="X31" s="25" t="s">
        <v>686</v>
      </c>
      <c r="Y31" s="22" t="s">
        <v>248</v>
      </c>
      <c r="Z31" s="22"/>
      <c r="AA31" s="38" t="s">
        <v>687</v>
      </c>
      <c r="AB31" s="70">
        <v>19250000</v>
      </c>
      <c r="AC31" s="25" t="s">
        <v>332</v>
      </c>
      <c r="AD31" s="22" t="s">
        <v>378</v>
      </c>
      <c r="AE31" s="26" t="s">
        <v>41</v>
      </c>
      <c r="AF31" s="26" t="s">
        <v>249</v>
      </c>
      <c r="AG31" s="26" t="s">
        <v>20</v>
      </c>
      <c r="AH31" s="25" t="s">
        <v>379</v>
      </c>
      <c r="AI31" s="25" t="s">
        <v>1083</v>
      </c>
      <c r="AJ31" s="60" t="s">
        <v>875</v>
      </c>
      <c r="AK31" s="23"/>
      <c r="AL31" s="23"/>
      <c r="AM31" s="44">
        <f>HLOOKUP($A31,'SP export'!$G$15:$XFD$25,'SP export'!$A$19,)</f>
        <v>-3902277400</v>
      </c>
      <c r="AN31" s="44">
        <f>HLOOKUP($A31,'SP export'!$G$15:$XFD$25,'SP export'!$A$20,)</f>
        <v>-1106.6469999999999</v>
      </c>
      <c r="AO31" s="44">
        <f>HLOOKUP($A31,'SP export'!$G$15:$XFD$25,'SP export'!$A$21,)</f>
        <v>-314565040</v>
      </c>
      <c r="AP31" s="44">
        <f>HLOOKUP($A31,'SP export'!$G$15:$XFD$25,'SP export'!$A$22,)</f>
        <v>-19913455000</v>
      </c>
      <c r="AQ31" s="44">
        <f>HLOOKUP($A31,'SP export'!$G$15:$XFD$25,'SP export'!$A$23,)</f>
        <v>-17178820</v>
      </c>
      <c r="AS31" s="44"/>
    </row>
    <row r="32" spans="1:45" ht="56" customHeight="1">
      <c r="A32" s="20" t="s">
        <v>949</v>
      </c>
      <c r="B32" s="20">
        <v>67</v>
      </c>
      <c r="C32" s="24" t="s">
        <v>250</v>
      </c>
      <c r="D32" s="25" t="s">
        <v>250</v>
      </c>
      <c r="E32" s="25" t="s">
        <v>36</v>
      </c>
      <c r="F32" s="25" t="s">
        <v>250</v>
      </c>
      <c r="G32" s="21" t="s">
        <v>394</v>
      </c>
      <c r="H32" s="24" t="s">
        <v>880</v>
      </c>
      <c r="I32" s="24" t="s">
        <v>880</v>
      </c>
      <c r="J32" s="48" t="s">
        <v>875</v>
      </c>
      <c r="K32" s="48"/>
      <c r="L32" s="21" t="s">
        <v>748</v>
      </c>
      <c r="M32" s="21" t="s">
        <v>749</v>
      </c>
      <c r="N32" s="21">
        <v>119</v>
      </c>
      <c r="O32" s="21"/>
      <c r="P32" s="21"/>
      <c r="Q32" s="21"/>
      <c r="R32" s="21" t="s">
        <v>448</v>
      </c>
      <c r="S32" s="21" t="s">
        <v>449</v>
      </c>
      <c r="T32" s="21" t="s">
        <v>450</v>
      </c>
      <c r="U32" s="21"/>
      <c r="V32" s="21" t="s">
        <v>750</v>
      </c>
      <c r="W32" s="21">
        <v>950</v>
      </c>
      <c r="X32" s="21"/>
      <c r="Y32" s="21" t="s">
        <v>217</v>
      </c>
      <c r="Z32" s="21"/>
      <c r="AA32" s="21" t="s">
        <v>751</v>
      </c>
      <c r="AB32" s="70"/>
      <c r="AC32" s="25" t="s">
        <v>222</v>
      </c>
      <c r="AD32" s="22" t="s">
        <v>768</v>
      </c>
      <c r="AE32" s="25" t="s">
        <v>41</v>
      </c>
      <c r="AF32" s="26" t="s">
        <v>252</v>
      </c>
      <c r="AG32" s="26" t="s">
        <v>20</v>
      </c>
      <c r="AH32" s="24" t="s">
        <v>752</v>
      </c>
      <c r="AI32" s="24" t="s">
        <v>753</v>
      </c>
      <c r="AJ32" s="61" t="s">
        <v>878</v>
      </c>
      <c r="AK32" s="26" t="s">
        <v>1082</v>
      </c>
      <c r="AL32" s="25" t="s">
        <v>1221</v>
      </c>
      <c r="AM32" s="44">
        <f>HLOOKUP($A32,'SP export'!$G$15:$XFD$25,'SP export'!$A$19,)</f>
        <v>0</v>
      </c>
      <c r="AN32" s="44">
        <f>HLOOKUP($A32,'SP export'!$G$15:$XFD$25,'SP export'!$A$20,)</f>
        <v>0</v>
      </c>
      <c r="AO32" s="44">
        <f>HLOOKUP($A32,'SP export'!$G$15:$XFD$25,'SP export'!$A$21,)</f>
        <v>0</v>
      </c>
      <c r="AP32" s="44">
        <f>HLOOKUP($A32,'SP export'!$G$15:$XFD$25,'SP export'!$A$22,)</f>
        <v>0</v>
      </c>
      <c r="AQ32" s="44">
        <f>HLOOKUP($A32,'SP export'!$G$15:$XFD$25,'SP export'!$A$23,)</f>
        <v>0</v>
      </c>
      <c r="AS32" s="44"/>
    </row>
    <row r="33" spans="1:45" ht="56" customHeight="1">
      <c r="A33" s="20" t="s">
        <v>950</v>
      </c>
      <c r="B33" s="20">
        <v>68</v>
      </c>
      <c r="C33" s="24" t="s">
        <v>253</v>
      </c>
      <c r="D33" s="25" t="s">
        <v>79</v>
      </c>
      <c r="E33" s="25" t="s">
        <v>43</v>
      </c>
      <c r="F33" s="25" t="s">
        <v>19</v>
      </c>
      <c r="G33" s="25" t="s">
        <v>448</v>
      </c>
      <c r="H33" s="24" t="s">
        <v>874</v>
      </c>
      <c r="I33" s="24" t="s">
        <v>874</v>
      </c>
      <c r="J33" s="63" t="s">
        <v>875</v>
      </c>
      <c r="K33" s="48"/>
      <c r="L33" s="25" t="s">
        <v>689</v>
      </c>
      <c r="M33" s="25" t="s">
        <v>690</v>
      </c>
      <c r="N33" s="25" t="s">
        <v>217</v>
      </c>
      <c r="O33" s="25" t="s">
        <v>217</v>
      </c>
      <c r="P33" s="25" t="s">
        <v>217</v>
      </c>
      <c r="Q33" s="25" t="s">
        <v>217</v>
      </c>
      <c r="R33" s="25" t="s">
        <v>536</v>
      </c>
      <c r="S33" s="25" t="s">
        <v>537</v>
      </c>
      <c r="T33" s="25" t="s">
        <v>691</v>
      </c>
      <c r="U33" s="25">
        <v>175</v>
      </c>
      <c r="V33" s="25" t="s">
        <v>692</v>
      </c>
      <c r="W33" s="25" t="s">
        <v>217</v>
      </c>
      <c r="X33" s="25" t="s">
        <v>693</v>
      </c>
      <c r="Y33" s="23" t="s">
        <v>256</v>
      </c>
      <c r="Z33" s="23"/>
      <c r="AA33" s="40" t="s">
        <v>694</v>
      </c>
      <c r="AB33" s="71">
        <f>AVERAGE( 1240000,2220000)</f>
        <v>1730000</v>
      </c>
      <c r="AC33" s="25" t="s">
        <v>332</v>
      </c>
      <c r="AD33" s="25" t="s">
        <v>377</v>
      </c>
      <c r="AE33" s="25" t="s">
        <v>41</v>
      </c>
      <c r="AF33" s="25" t="s">
        <v>258</v>
      </c>
      <c r="AG33" s="26" t="s">
        <v>20</v>
      </c>
      <c r="AH33" s="25" t="s">
        <v>379</v>
      </c>
      <c r="AI33" s="25" t="s">
        <v>1253</v>
      </c>
      <c r="AJ33" s="61" t="s">
        <v>875</v>
      </c>
      <c r="AK33" s="26"/>
      <c r="AL33" s="25"/>
      <c r="AM33" s="44">
        <f>HLOOKUP($A33,'SP export'!$G$15:$XFD$25,'SP export'!$A$19,)</f>
        <v>-680707140</v>
      </c>
      <c r="AN33" s="44">
        <f>HLOOKUP($A33,'SP export'!$G$15:$XFD$25,'SP export'!$A$20,)</f>
        <v>-1019.4015000000001</v>
      </c>
      <c r="AO33" s="44">
        <f>HLOOKUP($A33,'SP export'!$G$15:$XFD$25,'SP export'!$A$21,)</f>
        <v>-178148130</v>
      </c>
      <c r="AP33" s="44">
        <f>HLOOKUP($A33,'SP export'!$G$15:$XFD$25,'SP export'!$A$22,)</f>
        <v>-9870443200</v>
      </c>
      <c r="AQ33" s="44">
        <f>HLOOKUP($A33,'SP export'!$G$15:$XFD$25,'SP export'!$A$23,)</f>
        <v>-19247897</v>
      </c>
      <c r="AS33" s="44"/>
    </row>
    <row r="34" spans="1:45" ht="56" customHeight="1">
      <c r="A34" s="20" t="s">
        <v>951</v>
      </c>
      <c r="B34" s="20">
        <v>69</v>
      </c>
      <c r="C34" s="24" t="s">
        <v>253</v>
      </c>
      <c r="D34" s="25" t="s">
        <v>79</v>
      </c>
      <c r="E34" s="25" t="s">
        <v>43</v>
      </c>
      <c r="F34" s="25" t="s">
        <v>19</v>
      </c>
      <c r="G34" s="25" t="s">
        <v>448</v>
      </c>
      <c r="H34" s="24" t="s">
        <v>874</v>
      </c>
      <c r="I34" s="24" t="s">
        <v>874</v>
      </c>
      <c r="J34" s="63" t="s">
        <v>875</v>
      </c>
      <c r="K34" s="48"/>
      <c r="L34" s="25" t="s">
        <v>449</v>
      </c>
      <c r="M34" s="25" t="s">
        <v>450</v>
      </c>
      <c r="N34" s="25" t="s">
        <v>217</v>
      </c>
      <c r="O34" s="29" t="s">
        <v>695</v>
      </c>
      <c r="P34" s="25">
        <v>950</v>
      </c>
      <c r="Q34" s="25"/>
      <c r="R34" s="25" t="s">
        <v>603</v>
      </c>
      <c r="S34" s="25" t="s">
        <v>684</v>
      </c>
      <c r="T34" s="25" t="s">
        <v>685</v>
      </c>
      <c r="U34" s="27">
        <v>1022</v>
      </c>
      <c r="V34" s="25" t="s">
        <v>686</v>
      </c>
      <c r="W34" s="27">
        <v>1022</v>
      </c>
      <c r="X34" s="25" t="s">
        <v>686</v>
      </c>
      <c r="Y34" s="40" t="s">
        <v>1254</v>
      </c>
      <c r="Z34" s="23"/>
      <c r="AA34" s="22" t="s">
        <v>217</v>
      </c>
      <c r="AB34" s="70">
        <v>32616000</v>
      </c>
      <c r="AC34" s="25" t="s">
        <v>332</v>
      </c>
      <c r="AD34" s="22" t="s">
        <v>377</v>
      </c>
      <c r="AE34" s="25" t="s">
        <v>41</v>
      </c>
      <c r="AF34" s="25" t="s">
        <v>258</v>
      </c>
      <c r="AG34" s="26" t="s">
        <v>20</v>
      </c>
      <c r="AH34" s="25" t="s">
        <v>379</v>
      </c>
      <c r="AI34" s="25" t="s">
        <v>1255</v>
      </c>
      <c r="AJ34" s="61" t="s">
        <v>875</v>
      </c>
      <c r="AK34" s="26"/>
      <c r="AL34" s="25"/>
      <c r="AM34" s="44">
        <f>HLOOKUP($A34,'SP export'!$G$15:$XFD$25,'SP export'!$A$19,)</f>
        <v>-12833494000</v>
      </c>
      <c r="AN34" s="44">
        <f>HLOOKUP($A34,'SP export'!$G$15:$XFD$25,'SP export'!$A$20,)</f>
        <v>-19218.96</v>
      </c>
      <c r="AO34" s="44">
        <f>HLOOKUP($A34,'SP export'!$G$15:$XFD$25,'SP export'!$A$21,)</f>
        <v>-3358658500</v>
      </c>
      <c r="AP34" s="44">
        <f>HLOOKUP($A34,'SP export'!$G$15:$XFD$25,'SP export'!$A$22,)</f>
        <v>-186089230000</v>
      </c>
      <c r="AQ34" s="44">
        <f>HLOOKUP($A34,'SP export'!$G$15:$XFD$25,'SP export'!$A$23,)</f>
        <v>-362884040</v>
      </c>
      <c r="AS34" s="44"/>
    </row>
    <row r="35" spans="1:45" ht="56" customHeight="1">
      <c r="A35" s="20" t="s">
        <v>952</v>
      </c>
      <c r="B35" s="20">
        <v>78</v>
      </c>
      <c r="C35" s="21" t="s">
        <v>265</v>
      </c>
      <c r="D35" s="25" t="s">
        <v>265</v>
      </c>
      <c r="E35" s="22" t="s">
        <v>36</v>
      </c>
      <c r="F35" s="22" t="s">
        <v>34</v>
      </c>
      <c r="G35" s="21" t="s">
        <v>404</v>
      </c>
      <c r="H35" s="24" t="s">
        <v>874</v>
      </c>
      <c r="I35" s="24" t="s">
        <v>874</v>
      </c>
      <c r="J35" s="48" t="s">
        <v>875</v>
      </c>
      <c r="K35" s="48"/>
      <c r="L35" s="21" t="s">
        <v>716</v>
      </c>
      <c r="M35" s="21" t="s">
        <v>717</v>
      </c>
      <c r="N35" s="21">
        <v>23</v>
      </c>
      <c r="O35" s="21" t="s">
        <v>718</v>
      </c>
      <c r="P35" s="21"/>
      <c r="Q35" s="21" t="s">
        <v>719</v>
      </c>
      <c r="R35" s="21" t="s">
        <v>448</v>
      </c>
      <c r="S35" s="21" t="s">
        <v>720</v>
      </c>
      <c r="T35" s="21" t="s">
        <v>720</v>
      </c>
      <c r="U35" s="21"/>
      <c r="V35" s="21" t="s">
        <v>532</v>
      </c>
      <c r="W35" s="21"/>
      <c r="X35" s="21"/>
      <c r="Y35" s="37" t="s">
        <v>1084</v>
      </c>
      <c r="Z35" s="21"/>
      <c r="AA35" s="21" t="s">
        <v>721</v>
      </c>
      <c r="AB35" s="70">
        <f>AVERAGE(1110,3415)</f>
        <v>2262.5</v>
      </c>
      <c r="AC35" s="22" t="s">
        <v>17</v>
      </c>
      <c r="AD35" s="25" t="s">
        <v>766</v>
      </c>
      <c r="AE35" s="23" t="s">
        <v>41</v>
      </c>
      <c r="AF35" s="25" t="s">
        <v>269</v>
      </c>
      <c r="AG35" s="26" t="s">
        <v>20</v>
      </c>
      <c r="AH35" s="24" t="s">
        <v>722</v>
      </c>
      <c r="AI35" s="24" t="s">
        <v>379</v>
      </c>
      <c r="AJ35" s="60" t="s">
        <v>875</v>
      </c>
      <c r="AK35" s="23"/>
      <c r="AL35" s="23"/>
      <c r="AM35" s="44">
        <f>HLOOKUP($A35,'SP export'!$G$15:$XFD$25,'SP export'!$A$19,)</f>
        <v>-1659704.7</v>
      </c>
      <c r="AN35" s="44">
        <f>HLOOKUP($A35,'SP export'!$G$15:$XFD$25,'SP export'!$A$20,)</f>
        <v>-1.6552327</v>
      </c>
      <c r="AO35" s="44">
        <f>HLOOKUP($A35,'SP export'!$G$15:$XFD$25,'SP export'!$A$21,)</f>
        <v>-325321.45</v>
      </c>
      <c r="AP35" s="44">
        <f>HLOOKUP($A35,'SP export'!$G$15:$XFD$25,'SP export'!$A$22,)</f>
        <v>-86941270</v>
      </c>
      <c r="AQ35" s="44">
        <f>HLOOKUP($A35,'SP export'!$G$15:$XFD$25,'SP export'!$A$23,)</f>
        <v>-27507.355</v>
      </c>
      <c r="AS35" s="44"/>
    </row>
    <row r="36" spans="1:45" ht="56" customHeight="1">
      <c r="A36" s="20" t="s">
        <v>953</v>
      </c>
      <c r="B36" s="20">
        <v>79</v>
      </c>
      <c r="C36" s="21" t="s">
        <v>265</v>
      </c>
      <c r="D36" s="25" t="s">
        <v>265</v>
      </c>
      <c r="E36" s="22" t="s">
        <v>36</v>
      </c>
      <c r="F36" s="22" t="s">
        <v>34</v>
      </c>
      <c r="G36" s="21" t="s">
        <v>404</v>
      </c>
      <c r="H36" s="24" t="s">
        <v>874</v>
      </c>
      <c r="I36" s="24" t="s">
        <v>874</v>
      </c>
      <c r="J36" s="48" t="s">
        <v>875</v>
      </c>
      <c r="K36" s="48"/>
      <c r="L36" s="21" t="s">
        <v>513</v>
      </c>
      <c r="M36" s="21" t="s">
        <v>514</v>
      </c>
      <c r="N36" s="21">
        <v>13</v>
      </c>
      <c r="O36" s="21" t="s">
        <v>515</v>
      </c>
      <c r="P36" s="21">
        <v>6.9999999999999991</v>
      </c>
      <c r="Q36" s="21" t="s">
        <v>516</v>
      </c>
      <c r="R36" s="21" t="s">
        <v>407</v>
      </c>
      <c r="S36" s="21" t="s">
        <v>408</v>
      </c>
      <c r="T36" s="21" t="s">
        <v>409</v>
      </c>
      <c r="U36" s="21">
        <v>268</v>
      </c>
      <c r="V36" s="21" t="s">
        <v>445</v>
      </c>
      <c r="W36" s="21">
        <v>267.99999999999994</v>
      </c>
      <c r="X36" s="21" t="s">
        <v>410</v>
      </c>
      <c r="Y36" s="37" t="s">
        <v>284</v>
      </c>
      <c r="Z36" s="21"/>
      <c r="AA36" s="21"/>
      <c r="AB36" s="70">
        <v>327200</v>
      </c>
      <c r="AC36" s="22" t="s">
        <v>17</v>
      </c>
      <c r="AD36" s="25" t="s">
        <v>766</v>
      </c>
      <c r="AE36" s="23" t="s">
        <v>41</v>
      </c>
      <c r="AF36" s="25" t="s">
        <v>269</v>
      </c>
      <c r="AG36" s="26" t="s">
        <v>20</v>
      </c>
      <c r="AH36" s="24" t="s">
        <v>723</v>
      </c>
      <c r="AI36" s="24" t="s">
        <v>379</v>
      </c>
      <c r="AJ36" s="60" t="s">
        <v>875</v>
      </c>
      <c r="AK36" s="23"/>
      <c r="AL36" s="23"/>
      <c r="AM36" s="44">
        <f>HLOOKUP($A36,'SP export'!$G$15:$XFD$25,'SP export'!$A$19,)</f>
        <v>-240077530</v>
      </c>
      <c r="AN36" s="44">
        <f>HLOOKUP($A36,'SP export'!$G$15:$XFD$25,'SP export'!$A$20,)</f>
        <v>-239.43065000000001</v>
      </c>
      <c r="AO36" s="44">
        <f>HLOOKUP($A36,'SP export'!$G$15:$XFD$25,'SP export'!$A$21,)</f>
        <v>-47057992</v>
      </c>
      <c r="AP36" s="44">
        <f>HLOOKUP($A36,'SP export'!$G$15:$XFD$25,'SP export'!$A$22,)</f>
        <v>-12576120000</v>
      </c>
      <c r="AQ36" s="44">
        <f>HLOOKUP($A36,'SP export'!$G$15:$XFD$25,'SP export'!$A$23,)</f>
        <v>-3978959.6</v>
      </c>
      <c r="AS36" s="44"/>
    </row>
    <row r="37" spans="1:45" ht="56" customHeight="1">
      <c r="A37" s="20" t="s">
        <v>954</v>
      </c>
      <c r="B37" s="20">
        <v>80</v>
      </c>
      <c r="C37" s="21" t="s">
        <v>360</v>
      </c>
      <c r="D37" s="25" t="s">
        <v>273</v>
      </c>
      <c r="E37" s="22" t="s">
        <v>36</v>
      </c>
      <c r="F37" s="22" t="s">
        <v>34</v>
      </c>
      <c r="G37" s="21" t="s">
        <v>404</v>
      </c>
      <c r="H37" s="24" t="s">
        <v>1021</v>
      </c>
      <c r="I37" s="24" t="s">
        <v>1021</v>
      </c>
      <c r="J37" s="48" t="s">
        <v>875</v>
      </c>
      <c r="K37" s="48"/>
      <c r="L37" s="21" t="s">
        <v>513</v>
      </c>
      <c r="M37" s="21" t="s">
        <v>514</v>
      </c>
      <c r="N37" s="21">
        <v>13</v>
      </c>
      <c r="O37" s="21" t="s">
        <v>515</v>
      </c>
      <c r="P37" s="21">
        <v>6.9999999999999991</v>
      </c>
      <c r="Q37" s="21" t="s">
        <v>516</v>
      </c>
      <c r="R37" s="21" t="s">
        <v>407</v>
      </c>
      <c r="S37" s="21" t="s">
        <v>408</v>
      </c>
      <c r="T37" s="21" t="s">
        <v>409</v>
      </c>
      <c r="U37" s="21">
        <v>268</v>
      </c>
      <c r="V37" s="21" t="s">
        <v>445</v>
      </c>
      <c r="W37" s="21">
        <v>267.99999999999994</v>
      </c>
      <c r="X37" s="21" t="s">
        <v>410</v>
      </c>
      <c r="Y37" s="37" t="s">
        <v>1085</v>
      </c>
      <c r="Z37" s="21"/>
      <c r="AA37" s="21"/>
      <c r="AB37" s="70">
        <f>AVERAGE(580,17415)</f>
        <v>8997.5</v>
      </c>
      <c r="AC37" s="22" t="s">
        <v>17</v>
      </c>
      <c r="AD37" s="25" t="s">
        <v>766</v>
      </c>
      <c r="AE37" s="23" t="s">
        <v>41</v>
      </c>
      <c r="AF37" s="25" t="s">
        <v>276</v>
      </c>
      <c r="AG37" s="26" t="s">
        <v>20</v>
      </c>
      <c r="AH37" s="24" t="s">
        <v>723</v>
      </c>
      <c r="AI37" s="24" t="s">
        <v>1086</v>
      </c>
      <c r="AJ37" s="60" t="s">
        <v>875</v>
      </c>
      <c r="AK37" s="23"/>
      <c r="AL37" s="23"/>
      <c r="AM37" s="44">
        <f>HLOOKUP($A37,'SP export'!$G$15:$XFD$25,'SP export'!$A$19,)</f>
        <v>-4594285.0999999996</v>
      </c>
      <c r="AN37" s="44">
        <f>HLOOKUP($A37,'SP export'!$G$15:$XFD$25,'SP export'!$A$20,)</f>
        <v>-1.0336318</v>
      </c>
      <c r="AO37" s="44">
        <f>HLOOKUP($A37,'SP export'!$G$15:$XFD$25,'SP export'!$A$21,)</f>
        <v>-656495.13</v>
      </c>
      <c r="AP37" s="44">
        <f>HLOOKUP($A37,'SP export'!$G$15:$XFD$25,'SP export'!$A$22,)</f>
        <v>-268674970</v>
      </c>
      <c r="AQ37" s="44">
        <f>HLOOKUP($A37,'SP export'!$G$15:$XFD$25,'SP export'!$A$23,)</f>
        <v>-48734.211000000003</v>
      </c>
      <c r="AS37" s="44"/>
    </row>
    <row r="38" spans="1:45" ht="56" customHeight="1">
      <c r="A38" s="20" t="s">
        <v>955</v>
      </c>
      <c r="B38" s="20">
        <v>82</v>
      </c>
      <c r="C38" s="21" t="s">
        <v>361</v>
      </c>
      <c r="D38" s="25" t="s">
        <v>280</v>
      </c>
      <c r="E38" s="22" t="s">
        <v>43</v>
      </c>
      <c r="F38" s="22" t="s">
        <v>34</v>
      </c>
      <c r="G38" s="21" t="s">
        <v>499</v>
      </c>
      <c r="H38" s="24" t="s">
        <v>1021</v>
      </c>
      <c r="I38" s="24" t="s">
        <v>1021</v>
      </c>
      <c r="J38" s="48" t="s">
        <v>875</v>
      </c>
      <c r="K38" s="48"/>
      <c r="L38" s="21" t="s">
        <v>500</v>
      </c>
      <c r="M38" s="21" t="s">
        <v>509</v>
      </c>
      <c r="N38" s="21">
        <v>192</v>
      </c>
      <c r="O38" s="21" t="s">
        <v>502</v>
      </c>
      <c r="P38" s="21">
        <v>16</v>
      </c>
      <c r="Q38" s="21" t="s">
        <v>510</v>
      </c>
      <c r="R38" s="21" t="s">
        <v>448</v>
      </c>
      <c r="S38" s="21" t="s">
        <v>689</v>
      </c>
      <c r="T38" s="21" t="s">
        <v>690</v>
      </c>
      <c r="U38" s="21"/>
      <c r="V38" s="21" t="s">
        <v>532</v>
      </c>
      <c r="W38" s="21"/>
      <c r="X38" s="21"/>
      <c r="Y38" s="37" t="s">
        <v>1260</v>
      </c>
      <c r="Z38" s="24"/>
      <c r="AA38" s="24"/>
      <c r="AB38" s="70">
        <f>AVERAGE(5350400,6186400)</f>
        <v>5768400</v>
      </c>
      <c r="AC38" s="22" t="s">
        <v>17</v>
      </c>
      <c r="AD38" s="25" t="s">
        <v>766</v>
      </c>
      <c r="AE38" s="23" t="s">
        <v>41</v>
      </c>
      <c r="AF38" s="25" t="s">
        <v>285</v>
      </c>
      <c r="AG38" s="26" t="s">
        <v>20</v>
      </c>
      <c r="AH38" s="24" t="s">
        <v>727</v>
      </c>
      <c r="AI38" s="24" t="s">
        <v>728</v>
      </c>
      <c r="AJ38" s="60" t="s">
        <v>875</v>
      </c>
      <c r="AK38" s="23"/>
      <c r="AL38" s="25"/>
      <c r="AM38" s="44">
        <f>HLOOKUP($A38,'SP export'!$G$15:$XFD$25,'SP export'!$A$19,)</f>
        <v>-972684440</v>
      </c>
      <c r="AN38" s="44">
        <f>HLOOKUP($A38,'SP export'!$G$15:$XFD$25,'SP export'!$A$20,)</f>
        <v>-2233.3658999999998</v>
      </c>
      <c r="AO38" s="44">
        <f>HLOOKUP($A38,'SP export'!$G$15:$XFD$25,'SP export'!$A$21,)</f>
        <v>-1847710400</v>
      </c>
      <c r="AP38" s="44">
        <f>HLOOKUP($A38,'SP export'!$G$15:$XFD$25,'SP export'!$A$22,)</f>
        <v>-18170066000</v>
      </c>
      <c r="AQ38" s="44">
        <f>HLOOKUP($A38,'SP export'!$G$15:$XFD$25,'SP export'!$A$23,)</f>
        <v>-95861919</v>
      </c>
      <c r="AS38" s="44"/>
    </row>
    <row r="39" spans="1:45" ht="56" customHeight="1">
      <c r="A39" s="20" t="s">
        <v>956</v>
      </c>
      <c r="B39" s="20">
        <v>83</v>
      </c>
      <c r="C39" s="21" t="s">
        <v>281</v>
      </c>
      <c r="D39" s="25" t="s">
        <v>74</v>
      </c>
      <c r="E39" s="22" t="s">
        <v>43</v>
      </c>
      <c r="F39" s="22" t="s">
        <v>34</v>
      </c>
      <c r="G39" s="21" t="s">
        <v>463</v>
      </c>
      <c r="H39" s="24" t="s">
        <v>1021</v>
      </c>
      <c r="I39" s="24" t="s">
        <v>1021</v>
      </c>
      <c r="J39" s="48" t="s">
        <v>875</v>
      </c>
      <c r="K39" s="48"/>
      <c r="L39" s="21" t="s">
        <v>464</v>
      </c>
      <c r="M39" s="21" t="s">
        <v>465</v>
      </c>
      <c r="N39" s="21">
        <v>129</v>
      </c>
      <c r="O39" s="21" t="s">
        <v>466</v>
      </c>
      <c r="P39" s="21"/>
      <c r="Q39" s="21" t="s">
        <v>467</v>
      </c>
      <c r="R39" s="21" t="s">
        <v>448</v>
      </c>
      <c r="S39" s="21" t="s">
        <v>720</v>
      </c>
      <c r="T39" s="21" t="s">
        <v>720</v>
      </c>
      <c r="U39" s="21"/>
      <c r="V39" s="21" t="s">
        <v>532</v>
      </c>
      <c r="W39" s="21"/>
      <c r="X39" s="21"/>
      <c r="Y39" s="37" t="s">
        <v>1262</v>
      </c>
      <c r="Z39" s="24"/>
      <c r="AA39" s="24" t="s">
        <v>721</v>
      </c>
      <c r="AB39" s="70">
        <f>16700000*0.23</f>
        <v>3841000</v>
      </c>
      <c r="AC39" s="22" t="s">
        <v>17</v>
      </c>
      <c r="AD39" s="25" t="s">
        <v>766</v>
      </c>
      <c r="AE39" s="23" t="s">
        <v>41</v>
      </c>
      <c r="AF39" s="25" t="s">
        <v>287</v>
      </c>
      <c r="AG39" s="25" t="s">
        <v>20</v>
      </c>
      <c r="AH39" s="24" t="s">
        <v>729</v>
      </c>
      <c r="AI39" s="24" t="s">
        <v>730</v>
      </c>
      <c r="AJ39" s="60" t="s">
        <v>875</v>
      </c>
      <c r="AK39" s="23"/>
      <c r="AL39" s="25"/>
      <c r="AM39" s="44">
        <f>HLOOKUP($A39,'SP export'!$G$15:$XFD$25,'SP export'!$A$19,)</f>
        <v>-107372510</v>
      </c>
      <c r="AN39" s="44">
        <f>HLOOKUP($A39,'SP export'!$G$15:$XFD$25,'SP export'!$A$20,)</f>
        <v>-109.3612</v>
      </c>
      <c r="AO39" s="44">
        <f>HLOOKUP($A39,'SP export'!$G$15:$XFD$25,'SP export'!$A$21,)</f>
        <v>-17870066</v>
      </c>
      <c r="AP39" s="44">
        <f>HLOOKUP($A39,'SP export'!$G$15:$XFD$25,'SP export'!$A$22,)</f>
        <v>-39056128000</v>
      </c>
      <c r="AQ39" s="44">
        <f>HLOOKUP($A39,'SP export'!$G$15:$XFD$25,'SP export'!$A$23,)</f>
        <v>-18224047</v>
      </c>
      <c r="AS39" s="44"/>
    </row>
    <row r="40" spans="1:45" ht="56" customHeight="1">
      <c r="A40" s="20" t="s">
        <v>957</v>
      </c>
      <c r="B40" s="20">
        <v>84</v>
      </c>
      <c r="C40" s="21" t="s">
        <v>74</v>
      </c>
      <c r="D40" s="25" t="s">
        <v>74</v>
      </c>
      <c r="E40" s="22" t="s">
        <v>43</v>
      </c>
      <c r="F40" s="22" t="s">
        <v>34</v>
      </c>
      <c r="G40" s="21" t="s">
        <v>404</v>
      </c>
      <c r="H40" s="24" t="s">
        <v>1021</v>
      </c>
      <c r="I40" s="24" t="s">
        <v>1021</v>
      </c>
      <c r="J40" s="48" t="s">
        <v>875</v>
      </c>
      <c r="K40" s="48"/>
      <c r="L40" s="21" t="s">
        <v>489</v>
      </c>
      <c r="M40" s="21" t="s">
        <v>490</v>
      </c>
      <c r="N40" s="21">
        <v>26</v>
      </c>
      <c r="O40" s="21" t="s">
        <v>491</v>
      </c>
      <c r="P40" s="21"/>
      <c r="Q40" s="21" t="s">
        <v>492</v>
      </c>
      <c r="R40" s="21" t="s">
        <v>448</v>
      </c>
      <c r="S40" s="21" t="s">
        <v>720</v>
      </c>
      <c r="T40" s="21" t="s">
        <v>720</v>
      </c>
      <c r="U40" s="21"/>
      <c r="V40" s="21"/>
      <c r="W40" s="21"/>
      <c r="X40" s="21"/>
      <c r="Y40" s="37" t="s">
        <v>1263</v>
      </c>
      <c r="Z40" s="24"/>
      <c r="AA40" s="24" t="s">
        <v>721</v>
      </c>
      <c r="AB40" s="70">
        <f>AVERAGE(581,17415)</f>
        <v>8998</v>
      </c>
      <c r="AC40" s="22" t="s">
        <v>50</v>
      </c>
      <c r="AD40" s="25" t="s">
        <v>766</v>
      </c>
      <c r="AE40" s="22" t="s">
        <v>41</v>
      </c>
      <c r="AF40" s="25" t="s">
        <v>287</v>
      </c>
      <c r="AG40" s="25" t="s">
        <v>20</v>
      </c>
      <c r="AH40" s="24" t="s">
        <v>729</v>
      </c>
      <c r="AI40" s="24" t="s">
        <v>379</v>
      </c>
      <c r="AJ40" s="60" t="s">
        <v>875</v>
      </c>
      <c r="AK40" s="23"/>
      <c r="AL40" s="25"/>
      <c r="AM40" s="44">
        <f>HLOOKUP($A40,'SP export'!$G$15:$XFD$25,'SP export'!$A$19,)</f>
        <v>-9536.0080999999991</v>
      </c>
      <c r="AN40" s="44">
        <f>HLOOKUP($A40,'SP export'!$G$15:$XFD$25,'SP export'!$A$20,)</f>
        <v>-5.7167106000000001E-3</v>
      </c>
      <c r="AO40" s="44">
        <f>HLOOKUP($A40,'SP export'!$G$15:$XFD$25,'SP export'!$A$21,)</f>
        <v>-1134.6132</v>
      </c>
      <c r="AP40" s="44">
        <f>HLOOKUP($A40,'SP export'!$G$15:$XFD$25,'SP export'!$A$22,)</f>
        <v>-144907.78</v>
      </c>
      <c r="AQ40" s="44">
        <f>HLOOKUP($A40,'SP export'!$G$15:$XFD$25,'SP export'!$A$23,)</f>
        <v>-50.290056</v>
      </c>
      <c r="AS40" s="44"/>
    </row>
    <row r="41" spans="1:45" ht="56" customHeight="1">
      <c r="A41" s="20" t="s">
        <v>958</v>
      </c>
      <c r="B41" s="20">
        <v>86</v>
      </c>
      <c r="C41" s="21" t="s">
        <v>293</v>
      </c>
      <c r="D41" s="25" t="s">
        <v>293</v>
      </c>
      <c r="E41" s="22" t="s">
        <v>43</v>
      </c>
      <c r="F41" s="22" t="s">
        <v>34</v>
      </c>
      <c r="G41" s="21" t="s">
        <v>484</v>
      </c>
      <c r="H41" s="24" t="s">
        <v>1021</v>
      </c>
      <c r="I41" s="24" t="s">
        <v>1021</v>
      </c>
      <c r="J41" s="48" t="s">
        <v>875</v>
      </c>
      <c r="K41" s="48"/>
      <c r="L41" s="21" t="s">
        <v>736</v>
      </c>
      <c r="M41" s="21" t="s">
        <v>737</v>
      </c>
      <c r="N41" s="21">
        <v>191</v>
      </c>
      <c r="O41" s="21" t="s">
        <v>738</v>
      </c>
      <c r="P41" s="21">
        <v>191</v>
      </c>
      <c r="Q41" s="21" t="s">
        <v>738</v>
      </c>
      <c r="R41" s="21" t="s">
        <v>407</v>
      </c>
      <c r="S41" s="21" t="s">
        <v>408</v>
      </c>
      <c r="T41" s="21" t="s">
        <v>409</v>
      </c>
      <c r="U41" s="21">
        <v>268</v>
      </c>
      <c r="V41" s="21" t="s">
        <v>445</v>
      </c>
      <c r="W41" s="21">
        <v>267.99999999999994</v>
      </c>
      <c r="X41" s="21" t="s">
        <v>410</v>
      </c>
      <c r="Y41" s="37" t="s">
        <v>1264</v>
      </c>
      <c r="Z41" s="24"/>
      <c r="AA41" s="24"/>
      <c r="AB41" s="70">
        <v>3906899</v>
      </c>
      <c r="AC41" s="22" t="s">
        <v>56</v>
      </c>
      <c r="AD41" s="25" t="s">
        <v>766</v>
      </c>
      <c r="AE41" s="22" t="s">
        <v>41</v>
      </c>
      <c r="AF41" s="25" t="s">
        <v>296</v>
      </c>
      <c r="AG41" s="25" t="s">
        <v>20</v>
      </c>
      <c r="AH41" s="24" t="s">
        <v>739</v>
      </c>
      <c r="AI41" s="24"/>
      <c r="AJ41" s="61" t="s">
        <v>875</v>
      </c>
      <c r="AK41" s="23"/>
      <c r="AL41" s="25"/>
      <c r="AM41" s="44">
        <f>HLOOKUP($A41,'SP export'!$G$15:$XFD$25,'SP export'!$A$19,)</f>
        <v>-640694670</v>
      </c>
      <c r="AN41" s="44">
        <f>HLOOKUP($A41,'SP export'!$G$15:$XFD$25,'SP export'!$A$20,)</f>
        <v>-1543.9922999999999</v>
      </c>
      <c r="AO41" s="44">
        <f>HLOOKUP($A41,'SP export'!$G$15:$XFD$25,'SP export'!$A$21,)</f>
        <v>-1271831800</v>
      </c>
      <c r="AP41" s="44">
        <f>HLOOKUP($A41,'SP export'!$G$15:$XFD$25,'SP export'!$A$22,)</f>
        <v>-11743284000</v>
      </c>
      <c r="AQ41" s="44">
        <f>HLOOKUP($A41,'SP export'!$G$15:$XFD$25,'SP export'!$A$23,)</f>
        <v>-62523224</v>
      </c>
      <c r="AS41" s="44"/>
    </row>
    <row r="42" spans="1:45" ht="56" customHeight="1">
      <c r="A42" s="20" t="s">
        <v>959</v>
      </c>
      <c r="B42" s="20">
        <v>87</v>
      </c>
      <c r="C42" s="21" t="s">
        <v>361</v>
      </c>
      <c r="D42" s="25" t="s">
        <v>297</v>
      </c>
      <c r="E42" s="22" t="s">
        <v>43</v>
      </c>
      <c r="F42" s="22" t="s">
        <v>34</v>
      </c>
      <c r="G42" s="21" t="s">
        <v>499</v>
      </c>
      <c r="H42" s="24" t="s">
        <v>1021</v>
      </c>
      <c r="I42" s="24" t="s">
        <v>1021</v>
      </c>
      <c r="J42" s="48" t="s">
        <v>875</v>
      </c>
      <c r="K42" s="48"/>
      <c r="L42" s="21" t="s">
        <v>500</v>
      </c>
      <c r="M42" s="21" t="s">
        <v>509</v>
      </c>
      <c r="N42" s="21">
        <v>192</v>
      </c>
      <c r="O42" s="21" t="s">
        <v>502</v>
      </c>
      <c r="P42" s="21">
        <v>16</v>
      </c>
      <c r="Q42" s="21" t="s">
        <v>510</v>
      </c>
      <c r="R42" s="21" t="s">
        <v>66</v>
      </c>
      <c r="S42" s="21" t="s">
        <v>711</v>
      </c>
      <c r="T42" s="21" t="s">
        <v>740</v>
      </c>
      <c r="U42" s="21">
        <v>211</v>
      </c>
      <c r="V42" s="21" t="s">
        <v>741</v>
      </c>
      <c r="W42" s="21">
        <v>26</v>
      </c>
      <c r="X42" s="21" t="s">
        <v>742</v>
      </c>
      <c r="Y42" s="37" t="s">
        <v>1265</v>
      </c>
      <c r="Z42" s="24"/>
      <c r="AA42" s="24"/>
      <c r="AB42" s="70">
        <f>AVERAGE(5350400,6186400)</f>
        <v>5768400</v>
      </c>
      <c r="AC42" s="22" t="s">
        <v>56</v>
      </c>
      <c r="AD42" s="25" t="s">
        <v>766</v>
      </c>
      <c r="AE42" s="23" t="s">
        <v>41</v>
      </c>
      <c r="AF42" s="25" t="s">
        <v>285</v>
      </c>
      <c r="AG42" s="25" t="s">
        <v>20</v>
      </c>
      <c r="AH42" s="24" t="s">
        <v>727</v>
      </c>
      <c r="AI42" s="24" t="s">
        <v>728</v>
      </c>
      <c r="AJ42" s="60" t="s">
        <v>875</v>
      </c>
      <c r="AK42" s="23"/>
      <c r="AL42" s="25"/>
      <c r="AM42" s="44">
        <f>HLOOKUP($A42,'SP export'!$G$15:$XFD$25,'SP export'!$A$19,)</f>
        <v>-873509180</v>
      </c>
      <c r="AN42" s="44">
        <f>HLOOKUP($A42,'SP export'!$G$15:$XFD$25,'SP export'!$A$20,)</f>
        <v>-1958.5001999999999</v>
      </c>
      <c r="AO42" s="44">
        <f>HLOOKUP($A42,'SP export'!$G$15:$XFD$25,'SP export'!$A$21,)</f>
        <v>-1769317200</v>
      </c>
      <c r="AP42" s="44">
        <f>HLOOKUP($A42,'SP export'!$G$15:$XFD$25,'SP export'!$A$22,)</f>
        <v>-17025142000</v>
      </c>
      <c r="AQ42" s="44">
        <f>HLOOKUP($A42,'SP export'!$G$15:$XFD$25,'SP export'!$A$23,)</f>
        <v>-90804325</v>
      </c>
      <c r="AS42" s="44"/>
    </row>
    <row r="43" spans="1:45" ht="56" customHeight="1">
      <c r="A43" s="20" t="s">
        <v>960</v>
      </c>
      <c r="B43" s="20">
        <v>89</v>
      </c>
      <c r="C43" s="24" t="s">
        <v>250</v>
      </c>
      <c r="D43" s="25" t="s">
        <v>250</v>
      </c>
      <c r="E43" s="25" t="s">
        <v>36</v>
      </c>
      <c r="F43" s="25" t="s">
        <v>250</v>
      </c>
      <c r="G43" s="21" t="s">
        <v>499</v>
      </c>
      <c r="H43" s="24" t="s">
        <v>880</v>
      </c>
      <c r="I43" s="24" t="s">
        <v>880</v>
      </c>
      <c r="J43" s="48" t="s">
        <v>875</v>
      </c>
      <c r="K43" s="48"/>
      <c r="L43" s="21" t="s">
        <v>500</v>
      </c>
      <c r="M43" s="21" t="s">
        <v>754</v>
      </c>
      <c r="N43" s="21">
        <v>192</v>
      </c>
      <c r="O43" s="21" t="s">
        <v>502</v>
      </c>
      <c r="P43" s="21">
        <v>72</v>
      </c>
      <c r="Q43" s="21" t="s">
        <v>755</v>
      </c>
      <c r="R43" s="21" t="s">
        <v>394</v>
      </c>
      <c r="S43" s="21" t="s">
        <v>748</v>
      </c>
      <c r="T43" s="21" t="s">
        <v>749</v>
      </c>
      <c r="U43" s="21">
        <v>119</v>
      </c>
      <c r="V43" s="21"/>
      <c r="W43" s="21"/>
      <c r="X43" s="21"/>
      <c r="Y43" s="24" t="s">
        <v>217</v>
      </c>
      <c r="Z43" s="24"/>
      <c r="AA43" s="24" t="s">
        <v>751</v>
      </c>
      <c r="AB43" s="70"/>
      <c r="AC43" s="25" t="s">
        <v>50</v>
      </c>
      <c r="AD43" s="25" t="s">
        <v>378</v>
      </c>
      <c r="AE43" s="25" t="s">
        <v>41</v>
      </c>
      <c r="AF43" s="26" t="s">
        <v>252</v>
      </c>
      <c r="AG43" s="26" t="s">
        <v>20</v>
      </c>
      <c r="AH43" s="24" t="s">
        <v>756</v>
      </c>
      <c r="AI43" s="24" t="s">
        <v>753</v>
      </c>
      <c r="AJ43" s="60" t="s">
        <v>878</v>
      </c>
      <c r="AK43" s="23" t="s">
        <v>1082</v>
      </c>
      <c r="AL43" s="25" t="s">
        <v>1266</v>
      </c>
      <c r="AM43" s="44">
        <f>HLOOKUP($A43,'SP export'!$G$15:$XFD$25,'SP export'!$A$19,)</f>
        <v>0</v>
      </c>
      <c r="AN43" s="44">
        <f>HLOOKUP($A43,'SP export'!$G$15:$XFD$25,'SP export'!$A$20,)</f>
        <v>0</v>
      </c>
      <c r="AO43" s="44">
        <f>HLOOKUP($A43,'SP export'!$G$15:$XFD$25,'SP export'!$A$21,)</f>
        <v>0</v>
      </c>
      <c r="AP43" s="44">
        <f>HLOOKUP($A43,'SP export'!$G$15:$XFD$25,'SP export'!$A$22,)</f>
        <v>0</v>
      </c>
      <c r="AQ43" s="44">
        <f>HLOOKUP($A43,'SP export'!$G$15:$XFD$25,'SP export'!$A$23,)</f>
        <v>0</v>
      </c>
      <c r="AS43" s="44"/>
    </row>
    <row r="44" spans="1:45" ht="56" customHeight="1">
      <c r="A44" s="20" t="s">
        <v>961</v>
      </c>
      <c r="B44" s="20">
        <v>90</v>
      </c>
      <c r="C44" s="24" t="s">
        <v>250</v>
      </c>
      <c r="D44" s="25" t="s">
        <v>250</v>
      </c>
      <c r="E44" s="25" t="s">
        <v>36</v>
      </c>
      <c r="F44" s="25" t="s">
        <v>250</v>
      </c>
      <c r="G44" s="21" t="s">
        <v>499</v>
      </c>
      <c r="H44" s="24" t="s">
        <v>1021</v>
      </c>
      <c r="I44" s="24" t="s">
        <v>1021</v>
      </c>
      <c r="J44" s="48" t="s">
        <v>875</v>
      </c>
      <c r="K44" s="48"/>
      <c r="L44" s="21" t="s">
        <v>500</v>
      </c>
      <c r="M44" s="21" t="s">
        <v>754</v>
      </c>
      <c r="N44" s="21">
        <v>192</v>
      </c>
      <c r="O44" s="21" t="s">
        <v>502</v>
      </c>
      <c r="P44" s="21">
        <v>72</v>
      </c>
      <c r="Q44" s="21" t="s">
        <v>755</v>
      </c>
      <c r="R44" s="21" t="s">
        <v>611</v>
      </c>
      <c r="S44" s="21" t="s">
        <v>654</v>
      </c>
      <c r="T44" s="21" t="s">
        <v>655</v>
      </c>
      <c r="U44" s="21">
        <v>29</v>
      </c>
      <c r="V44" s="21" t="s">
        <v>656</v>
      </c>
      <c r="W44" s="21">
        <v>17</v>
      </c>
      <c r="X44" s="21" t="s">
        <v>657</v>
      </c>
      <c r="Y44" s="21" t="s">
        <v>217</v>
      </c>
      <c r="Z44" s="21"/>
      <c r="AA44" s="37" t="s">
        <v>329</v>
      </c>
      <c r="AB44" s="70"/>
      <c r="AC44" s="25" t="s">
        <v>50</v>
      </c>
      <c r="AD44" s="25" t="s">
        <v>378</v>
      </c>
      <c r="AE44" s="25" t="s">
        <v>41</v>
      </c>
      <c r="AF44" s="26" t="s">
        <v>252</v>
      </c>
      <c r="AG44" s="26" t="s">
        <v>20</v>
      </c>
      <c r="AH44" s="24" t="s">
        <v>756</v>
      </c>
      <c r="AI44" s="24" t="s">
        <v>753</v>
      </c>
      <c r="AJ44" s="60" t="s">
        <v>878</v>
      </c>
      <c r="AK44" s="23" t="s">
        <v>1082</v>
      </c>
      <c r="AL44" s="25" t="s">
        <v>1266</v>
      </c>
      <c r="AM44" s="44">
        <f>HLOOKUP($A44,'SP export'!$G$15:$XFD$25,'SP export'!$A$19,)</f>
        <v>0</v>
      </c>
      <c r="AN44" s="44">
        <f>HLOOKUP($A44,'SP export'!$G$15:$XFD$25,'SP export'!$A$20,)</f>
        <v>0</v>
      </c>
      <c r="AO44" s="44">
        <f>HLOOKUP($A44,'SP export'!$G$15:$XFD$25,'SP export'!$A$21,)</f>
        <v>0</v>
      </c>
      <c r="AP44" s="44">
        <f>HLOOKUP($A44,'SP export'!$G$15:$XFD$25,'SP export'!$A$22,)</f>
        <v>0</v>
      </c>
      <c r="AQ44" s="44">
        <f>HLOOKUP($A44,'SP export'!$G$15:$XFD$25,'SP export'!$A$23,)</f>
        <v>0</v>
      </c>
      <c r="AS44" s="44"/>
    </row>
    <row r="45" spans="1:45" ht="56" customHeight="1">
      <c r="A45" s="20" t="s">
        <v>962</v>
      </c>
      <c r="B45" s="20">
        <v>97</v>
      </c>
      <c r="C45" s="24" t="s">
        <v>277</v>
      </c>
      <c r="D45" s="25" t="s">
        <v>277</v>
      </c>
      <c r="E45" s="25" t="s">
        <v>36</v>
      </c>
      <c r="F45" s="25" t="s">
        <v>367</v>
      </c>
      <c r="G45" s="21" t="s">
        <v>598</v>
      </c>
      <c r="H45" s="24" t="s">
        <v>1021</v>
      </c>
      <c r="I45" s="24" t="s">
        <v>1021</v>
      </c>
      <c r="J45" s="48" t="s">
        <v>875</v>
      </c>
      <c r="K45" s="48"/>
      <c r="L45" s="21" t="s">
        <v>757</v>
      </c>
      <c r="M45" s="21" t="s">
        <v>757</v>
      </c>
      <c r="N45" s="33"/>
      <c r="O45" s="33"/>
      <c r="P45" s="33"/>
      <c r="Q45" s="33"/>
      <c r="R45" s="21" t="s">
        <v>1207</v>
      </c>
      <c r="S45" s="21" t="s">
        <v>1207</v>
      </c>
      <c r="T45" s="21" t="s">
        <v>1207</v>
      </c>
      <c r="U45" s="33"/>
      <c r="V45" s="33"/>
      <c r="W45" s="33"/>
      <c r="X45" s="33"/>
      <c r="Y45" s="37" t="s">
        <v>348</v>
      </c>
      <c r="Z45" s="21"/>
      <c r="AA45" s="21" t="s">
        <v>859</v>
      </c>
      <c r="AB45" s="70">
        <f>4475965</f>
        <v>4475965</v>
      </c>
      <c r="AC45" s="22" t="s">
        <v>50</v>
      </c>
      <c r="AD45" s="25" t="s">
        <v>389</v>
      </c>
      <c r="AE45" s="25" t="s">
        <v>41</v>
      </c>
      <c r="AF45" s="26" t="s">
        <v>384</v>
      </c>
      <c r="AG45" s="25" t="s">
        <v>20</v>
      </c>
      <c r="AH45" s="24" t="s">
        <v>1089</v>
      </c>
      <c r="AI45" s="24" t="s">
        <v>758</v>
      </c>
      <c r="AJ45" s="60" t="s">
        <v>875</v>
      </c>
      <c r="AK45" s="23"/>
      <c r="AL45" s="23"/>
      <c r="AM45" s="44">
        <f>HLOOKUP($A45,'SP export'!$G$15:$XFD$25,'SP export'!$A$19,)</f>
        <v>-17850755000</v>
      </c>
      <c r="AN45" s="44">
        <f>HLOOKUP($A45,'SP export'!$G$15:$XFD$25,'SP export'!$A$20,)</f>
        <v>-4620.0348999999997</v>
      </c>
      <c r="AO45" s="44">
        <f>HLOOKUP($A45,'SP export'!$G$15:$XFD$25,'SP export'!$A$21,)</f>
        <v>-1526884300</v>
      </c>
      <c r="AP45" s="44">
        <f>HLOOKUP($A45,'SP export'!$G$15:$XFD$25,'SP export'!$A$22,)</f>
        <v>-274610380000</v>
      </c>
      <c r="AQ45" s="44">
        <f>HLOOKUP($A45,'SP export'!$G$15:$XFD$25,'SP export'!$A$23,)</f>
        <v>-107598850</v>
      </c>
      <c r="AS45" s="44"/>
    </row>
    <row r="46" spans="1:45" ht="56" customHeight="1">
      <c r="A46" s="20" t="s">
        <v>963</v>
      </c>
      <c r="B46" s="20">
        <v>98</v>
      </c>
      <c r="C46" s="24" t="s">
        <v>349</v>
      </c>
      <c r="D46" s="25" t="s">
        <v>349</v>
      </c>
      <c r="E46" s="25" t="s">
        <v>36</v>
      </c>
      <c r="F46" s="25" t="s">
        <v>367</v>
      </c>
      <c r="G46" s="21" t="s">
        <v>598</v>
      </c>
      <c r="H46" s="24" t="s">
        <v>1021</v>
      </c>
      <c r="I46" s="24" t="s">
        <v>1021</v>
      </c>
      <c r="J46" s="48" t="s">
        <v>875</v>
      </c>
      <c r="K46" s="48"/>
      <c r="L46" s="21" t="s">
        <v>757</v>
      </c>
      <c r="M46" s="21" t="s">
        <v>757</v>
      </c>
      <c r="N46" s="33"/>
      <c r="O46" s="33"/>
      <c r="P46" s="33"/>
      <c r="Q46" s="33"/>
      <c r="R46" s="21" t="s">
        <v>1207</v>
      </c>
      <c r="S46" s="21" t="s">
        <v>1207</v>
      </c>
      <c r="T46" s="21" t="s">
        <v>1207</v>
      </c>
      <c r="U46" s="33"/>
      <c r="V46" s="33"/>
      <c r="W46" s="33"/>
      <c r="X46" s="33"/>
      <c r="Y46" s="37" t="s">
        <v>350</v>
      </c>
      <c r="Z46" s="21"/>
      <c r="AA46" s="21" t="s">
        <v>859</v>
      </c>
      <c r="AB46" s="70">
        <v>201286</v>
      </c>
      <c r="AC46" s="25" t="s">
        <v>50</v>
      </c>
      <c r="AD46" s="25" t="s">
        <v>389</v>
      </c>
      <c r="AE46" s="25" t="s">
        <v>41</v>
      </c>
      <c r="AF46" s="25" t="s">
        <v>385</v>
      </c>
      <c r="AG46" s="25" t="s">
        <v>20</v>
      </c>
      <c r="AH46" s="24" t="s">
        <v>1087</v>
      </c>
      <c r="AI46" s="24" t="s">
        <v>760</v>
      </c>
      <c r="AJ46" s="60" t="s">
        <v>875</v>
      </c>
      <c r="AK46" s="23"/>
      <c r="AL46" s="23"/>
      <c r="AM46" s="44">
        <f>HLOOKUP($A46,'SP export'!$G$15:$XFD$25,'SP export'!$A$19,)</f>
        <v>-847467290</v>
      </c>
      <c r="AN46" s="44">
        <f>HLOOKUP($A46,'SP export'!$G$15:$XFD$25,'SP export'!$A$20,)</f>
        <v>-508.04541999999998</v>
      </c>
      <c r="AO46" s="44">
        <f>HLOOKUP($A46,'SP export'!$G$15:$XFD$25,'SP export'!$A$21,)</f>
        <v>-100833340</v>
      </c>
      <c r="AP46" s="44">
        <f>HLOOKUP($A46,'SP export'!$G$15:$XFD$25,'SP export'!$A$22,)</f>
        <v>-12877988000</v>
      </c>
      <c r="AQ46" s="44">
        <f>HLOOKUP($A46,'SP export'!$G$15:$XFD$25,'SP export'!$A$23,)</f>
        <v>-4469289.0999999996</v>
      </c>
      <c r="AS46" s="44"/>
    </row>
    <row r="47" spans="1:45" ht="56" customHeight="1">
      <c r="A47" s="20" t="s">
        <v>964</v>
      </c>
      <c r="B47" s="20">
        <v>99</v>
      </c>
      <c r="C47" s="24" t="s">
        <v>22</v>
      </c>
      <c r="D47" s="25" t="s">
        <v>22</v>
      </c>
      <c r="E47" s="22" t="s">
        <v>36</v>
      </c>
      <c r="F47" s="25" t="s">
        <v>367</v>
      </c>
      <c r="G47" s="21" t="s">
        <v>598</v>
      </c>
      <c r="H47" s="24" t="s">
        <v>1021</v>
      </c>
      <c r="I47" s="24" t="s">
        <v>1021</v>
      </c>
      <c r="J47" s="48" t="s">
        <v>875</v>
      </c>
      <c r="K47" s="48"/>
      <c r="L47" s="21" t="s">
        <v>757</v>
      </c>
      <c r="M47" s="21" t="s">
        <v>757</v>
      </c>
      <c r="N47" s="33"/>
      <c r="O47" s="33"/>
      <c r="P47" s="33"/>
      <c r="Q47" s="33"/>
      <c r="R47" s="21" t="s">
        <v>1207</v>
      </c>
      <c r="S47" s="21" t="s">
        <v>1207</v>
      </c>
      <c r="T47" s="21" t="s">
        <v>1207</v>
      </c>
      <c r="U47" s="33"/>
      <c r="V47" s="33"/>
      <c r="W47" s="33"/>
      <c r="X47" s="33"/>
      <c r="Y47" s="37" t="s">
        <v>352</v>
      </c>
      <c r="Z47" s="21"/>
      <c r="AA47" s="21" t="s">
        <v>859</v>
      </c>
      <c r="AB47" s="70">
        <v>270147</v>
      </c>
      <c r="AC47" s="22" t="s">
        <v>50</v>
      </c>
      <c r="AD47" s="25" t="s">
        <v>389</v>
      </c>
      <c r="AE47" s="25" t="s">
        <v>41</v>
      </c>
      <c r="AF47" s="26" t="s">
        <v>386</v>
      </c>
      <c r="AG47" s="26" t="s">
        <v>20</v>
      </c>
      <c r="AH47" s="24" t="s">
        <v>761</v>
      </c>
      <c r="AI47" s="24" t="s">
        <v>759</v>
      </c>
      <c r="AJ47" s="60" t="s">
        <v>875</v>
      </c>
      <c r="AK47" s="23"/>
      <c r="AL47" s="23"/>
      <c r="AM47" s="44">
        <f>HLOOKUP($A47,'SP export'!$G$15:$XFD$25,'SP export'!$A$19,)</f>
        <v>-774547240</v>
      </c>
      <c r="AN47" s="44">
        <f>HLOOKUP($A47,'SP export'!$G$15:$XFD$25,'SP export'!$A$20,)</f>
        <v>-95.377217999999999</v>
      </c>
      <c r="AO47" s="44">
        <f>HLOOKUP($A47,'SP export'!$G$15:$XFD$25,'SP export'!$A$21,)</f>
        <v>-15531131</v>
      </c>
      <c r="AP47" s="44">
        <f>HLOOKUP($A47,'SP export'!$G$15:$XFD$25,'SP export'!$A$22,)</f>
        <v>-14564805000</v>
      </c>
      <c r="AQ47" s="44">
        <f>HLOOKUP($A47,'SP export'!$G$15:$XFD$25,'SP export'!$A$23,)</f>
        <v>-15407852</v>
      </c>
      <c r="AS47" s="44"/>
    </row>
    <row r="48" spans="1:45" ht="56" customHeight="1">
      <c r="A48" s="20" t="s">
        <v>965</v>
      </c>
      <c r="B48" s="20">
        <v>100</v>
      </c>
      <c r="C48" s="21" t="s">
        <v>351</v>
      </c>
      <c r="D48" s="25" t="s">
        <v>351</v>
      </c>
      <c r="E48" s="22" t="s">
        <v>36</v>
      </c>
      <c r="F48" s="25" t="s">
        <v>367</v>
      </c>
      <c r="G48" s="21" t="s">
        <v>598</v>
      </c>
      <c r="H48" s="24" t="s">
        <v>1021</v>
      </c>
      <c r="I48" s="24" t="s">
        <v>1021</v>
      </c>
      <c r="J48" s="48" t="s">
        <v>875</v>
      </c>
      <c r="K48" s="48"/>
      <c r="L48" s="21" t="s">
        <v>757</v>
      </c>
      <c r="M48" s="21" t="s">
        <v>757</v>
      </c>
      <c r="N48" s="33"/>
      <c r="O48" s="33"/>
      <c r="P48" s="33"/>
      <c r="Q48" s="33"/>
      <c r="R48" s="21" t="s">
        <v>1207</v>
      </c>
      <c r="S48" s="21" t="s">
        <v>1207</v>
      </c>
      <c r="T48" s="21" t="s">
        <v>1207</v>
      </c>
      <c r="U48" s="33"/>
      <c r="V48" s="33"/>
      <c r="W48" s="33"/>
      <c r="X48" s="33"/>
      <c r="Y48" s="37" t="s">
        <v>353</v>
      </c>
      <c r="Z48" s="21"/>
      <c r="AA48" s="21" t="s">
        <v>859</v>
      </c>
      <c r="AB48" s="70">
        <v>3739682</v>
      </c>
      <c r="AC48" s="22" t="s">
        <v>50</v>
      </c>
      <c r="AD48" s="25" t="s">
        <v>389</v>
      </c>
      <c r="AE48" s="25" t="s">
        <v>41</v>
      </c>
      <c r="AF48" s="26" t="s">
        <v>387</v>
      </c>
      <c r="AG48" s="26" t="s">
        <v>20</v>
      </c>
      <c r="AH48" s="24" t="s">
        <v>1088</v>
      </c>
      <c r="AI48" s="24" t="s">
        <v>762</v>
      </c>
      <c r="AJ48" s="60" t="s">
        <v>875</v>
      </c>
      <c r="AK48" s="23"/>
      <c r="AL48" s="23"/>
      <c r="AM48" s="44">
        <f>HLOOKUP($A48,'SP export'!$G$15:$XFD$25,'SP export'!$A$19,)</f>
        <v>-14980281000</v>
      </c>
      <c r="AN48" s="44">
        <f>HLOOKUP($A48,'SP export'!$G$15:$XFD$25,'SP export'!$A$20,)</f>
        <v>-29514.518</v>
      </c>
      <c r="AO48" s="44">
        <f>HLOOKUP($A48,'SP export'!$G$15:$XFD$25,'SP export'!$A$21,)</f>
        <v>-2337009600</v>
      </c>
      <c r="AP48" s="44">
        <f>HLOOKUP($A48,'SP export'!$G$15:$XFD$25,'SP export'!$A$22,)</f>
        <v>-229767160000</v>
      </c>
      <c r="AQ48" s="44">
        <f>HLOOKUP($A48,'SP export'!$G$15:$XFD$25,'SP export'!$A$23,)</f>
        <v>-101192520</v>
      </c>
      <c r="AS48" s="44"/>
    </row>
    <row r="49" spans="1:45" ht="56" customHeight="1">
      <c r="A49" s="45" t="s">
        <v>967</v>
      </c>
      <c r="B49" s="20">
        <v>7</v>
      </c>
      <c r="C49" s="24" t="s">
        <v>58</v>
      </c>
      <c r="D49" s="25" t="s">
        <v>58</v>
      </c>
      <c r="E49" s="22" t="s">
        <v>43</v>
      </c>
      <c r="F49" s="25" t="s">
        <v>19</v>
      </c>
      <c r="G49" s="21" t="s">
        <v>439</v>
      </c>
      <c r="H49" s="24" t="s">
        <v>874</v>
      </c>
      <c r="I49" s="24" t="s">
        <v>874</v>
      </c>
      <c r="J49" s="48" t="s">
        <v>875</v>
      </c>
      <c r="K49" s="48"/>
      <c r="L49" s="21" t="s">
        <v>440</v>
      </c>
      <c r="M49" s="21" t="s">
        <v>441</v>
      </c>
      <c r="N49" s="21">
        <v>19</v>
      </c>
      <c r="O49" s="21" t="s">
        <v>442</v>
      </c>
      <c r="P49" s="21">
        <v>5</v>
      </c>
      <c r="Q49" s="21" t="s">
        <v>443</v>
      </c>
      <c r="R49" s="21" t="s">
        <v>407</v>
      </c>
      <c r="S49" s="21" t="s">
        <v>408</v>
      </c>
      <c r="T49" s="21" t="s">
        <v>444</v>
      </c>
      <c r="U49" s="21">
        <v>268</v>
      </c>
      <c r="V49" s="21" t="s">
        <v>445</v>
      </c>
      <c r="W49" s="21">
        <v>268</v>
      </c>
      <c r="X49" s="21" t="s">
        <v>446</v>
      </c>
      <c r="Y49" s="37" t="s">
        <v>62</v>
      </c>
      <c r="Z49" s="21"/>
      <c r="AA49" s="21" t="s">
        <v>447</v>
      </c>
      <c r="AB49" s="70">
        <v>2543550</v>
      </c>
      <c r="AC49" s="25" t="s">
        <v>17</v>
      </c>
      <c r="AD49" s="22" t="s">
        <v>378</v>
      </c>
      <c r="AE49" s="26" t="s">
        <v>41</v>
      </c>
      <c r="AF49" s="25" t="s">
        <v>365</v>
      </c>
      <c r="AG49" s="25" t="s">
        <v>20</v>
      </c>
      <c r="AH49" s="24" t="s">
        <v>379</v>
      </c>
      <c r="AI49" s="24" t="s">
        <v>58</v>
      </c>
      <c r="AJ49" s="60" t="s">
        <v>875</v>
      </c>
      <c r="AK49" s="23"/>
      <c r="AL49" s="23"/>
      <c r="AM49" s="44">
        <f>HLOOKUP($A49,'SP export'!$G$15:$XFD$25,'SP export'!$A$19,)</f>
        <v>-61604124</v>
      </c>
      <c r="AN49" s="44">
        <f>HLOOKUP($A49,'SP export'!$G$15:$XFD$25,'SP export'!$A$20,)</f>
        <v>-3809.5268000000001</v>
      </c>
      <c r="AO49" s="44">
        <f>HLOOKUP($A49,'SP export'!$G$15:$XFD$25,'SP export'!$A$21,)</f>
        <v>-149551700</v>
      </c>
      <c r="AP49" s="44">
        <f>HLOOKUP($A49,'SP export'!$G$15:$XFD$25,'SP export'!$A$22,)</f>
        <v>-1211772600</v>
      </c>
      <c r="AQ49" s="44">
        <f>HLOOKUP($A49,'SP export'!$G$15:$XFD$25,'SP export'!$A$23,)</f>
        <v>-2386462.9</v>
      </c>
      <c r="AS49" s="44"/>
    </row>
    <row r="50" spans="1:45" ht="56" customHeight="1">
      <c r="A50" s="45" t="s">
        <v>968</v>
      </c>
      <c r="B50" s="20">
        <v>1</v>
      </c>
      <c r="C50" s="21" t="s">
        <v>11</v>
      </c>
      <c r="D50" s="25" t="s">
        <v>12</v>
      </c>
      <c r="E50" s="22" t="s">
        <v>21</v>
      </c>
      <c r="F50" s="22" t="s">
        <v>19</v>
      </c>
      <c r="G50" s="21" t="s">
        <v>391</v>
      </c>
      <c r="H50" s="24" t="s">
        <v>1021</v>
      </c>
      <c r="I50" s="24" t="s">
        <v>1021</v>
      </c>
      <c r="J50" s="48" t="s">
        <v>875</v>
      </c>
      <c r="K50" s="24"/>
      <c r="L50" s="21" t="s">
        <v>392</v>
      </c>
      <c r="M50" s="21" t="s">
        <v>392</v>
      </c>
      <c r="N50" s="21">
        <v>38</v>
      </c>
      <c r="O50" s="21" t="s">
        <v>393</v>
      </c>
      <c r="P50" s="21" t="s">
        <v>379</v>
      </c>
      <c r="Q50" s="21" t="s">
        <v>393</v>
      </c>
      <c r="R50" s="21" t="s">
        <v>394</v>
      </c>
      <c r="S50" s="21" t="s">
        <v>395</v>
      </c>
      <c r="T50" s="21" t="s">
        <v>396</v>
      </c>
      <c r="U50" s="21">
        <v>38</v>
      </c>
      <c r="V50" s="21" t="s">
        <v>397</v>
      </c>
      <c r="W50" s="21" t="s">
        <v>379</v>
      </c>
      <c r="X50" s="21" t="s">
        <v>397</v>
      </c>
      <c r="Y50" s="37" t="s">
        <v>1209</v>
      </c>
      <c r="Z50" s="49"/>
      <c r="AA50" s="21" t="s">
        <v>398</v>
      </c>
      <c r="AB50" s="70">
        <v>850610</v>
      </c>
      <c r="AC50" s="22" t="s">
        <v>17</v>
      </c>
      <c r="AD50" s="22" t="s">
        <v>378</v>
      </c>
      <c r="AE50" s="23" t="s">
        <v>16</v>
      </c>
      <c r="AF50" s="26" t="s">
        <v>18</v>
      </c>
      <c r="AG50" s="26" t="s">
        <v>20</v>
      </c>
      <c r="AH50" s="24" t="s">
        <v>399</v>
      </c>
      <c r="AI50" s="24" t="s">
        <v>400</v>
      </c>
      <c r="AJ50" s="60" t="s">
        <v>875</v>
      </c>
      <c r="AK50" s="23"/>
      <c r="AL50" s="23"/>
      <c r="AM50" s="44">
        <f>HLOOKUP($A50,'SP export'!$G$15:$XFD$25,'SP export'!$A$19,)</f>
        <v>-1892599900</v>
      </c>
      <c r="AN50" s="44">
        <f>HLOOKUP($A50,'SP export'!$G$15:$XFD$25,'SP export'!$A$20,)</f>
        <v>-784.75039000000004</v>
      </c>
      <c r="AO50" s="44">
        <f>HLOOKUP($A50,'SP export'!$G$15:$XFD$25,'SP export'!$A$21,)</f>
        <v>-162736080</v>
      </c>
      <c r="AP50" s="44">
        <f>HLOOKUP($A50,'SP export'!$G$15:$XFD$25,'SP export'!$A$22,)</f>
        <v>-67669960000</v>
      </c>
      <c r="AQ50" s="44">
        <f>HLOOKUP($A50,'SP export'!$G$15:$XFD$25,'SP export'!$A$23,)</f>
        <v>-134251380</v>
      </c>
      <c r="AS50" s="44"/>
    </row>
    <row r="51" spans="1:45" ht="56" customHeight="1">
      <c r="A51" s="45" t="s">
        <v>969</v>
      </c>
      <c r="B51" s="20">
        <v>2</v>
      </c>
      <c r="C51" s="21" t="s">
        <v>11</v>
      </c>
      <c r="D51" s="25" t="s">
        <v>11</v>
      </c>
      <c r="E51" s="22" t="s">
        <v>21</v>
      </c>
      <c r="F51" s="22" t="s">
        <v>19</v>
      </c>
      <c r="G51" s="21" t="s">
        <v>391</v>
      </c>
      <c r="H51" s="24" t="s">
        <v>1021</v>
      </c>
      <c r="I51" s="24" t="s">
        <v>1021</v>
      </c>
      <c r="J51" s="48" t="s">
        <v>875</v>
      </c>
      <c r="K51" s="24"/>
      <c r="L51" s="21" t="s">
        <v>392</v>
      </c>
      <c r="M51" s="21" t="s">
        <v>392</v>
      </c>
      <c r="N51" s="21">
        <v>38</v>
      </c>
      <c r="O51" s="21" t="s">
        <v>393</v>
      </c>
      <c r="P51" s="21" t="s">
        <v>379</v>
      </c>
      <c r="Q51" s="21" t="s">
        <v>393</v>
      </c>
      <c r="R51" s="21" t="s">
        <v>394</v>
      </c>
      <c r="S51" s="21" t="s">
        <v>401</v>
      </c>
      <c r="T51" s="21" t="s">
        <v>402</v>
      </c>
      <c r="U51" s="21">
        <v>140</v>
      </c>
      <c r="V51" s="21" t="s">
        <v>403</v>
      </c>
      <c r="W51" s="21" t="s">
        <v>379</v>
      </c>
      <c r="X51" s="21" t="s">
        <v>403</v>
      </c>
      <c r="Y51" s="37" t="s">
        <v>1210</v>
      </c>
      <c r="Z51" s="49"/>
      <c r="AA51" s="21" t="s">
        <v>217</v>
      </c>
      <c r="AB51" s="49">
        <v>15251000</v>
      </c>
      <c r="AC51" s="22" t="s">
        <v>17</v>
      </c>
      <c r="AD51" s="22" t="s">
        <v>378</v>
      </c>
      <c r="AE51" s="23" t="s">
        <v>16</v>
      </c>
      <c r="AF51" s="54" t="s">
        <v>26</v>
      </c>
      <c r="AG51" s="26" t="s">
        <v>20</v>
      </c>
      <c r="AH51" s="24" t="s">
        <v>399</v>
      </c>
      <c r="AI51" s="24" t="s">
        <v>400</v>
      </c>
      <c r="AJ51" s="60" t="s">
        <v>875</v>
      </c>
      <c r="AK51" s="23"/>
      <c r="AL51" s="23"/>
      <c r="AM51" s="44">
        <f>HLOOKUP($A51,'SP export'!$G$15:$XFD$25,'SP export'!$A$19,)</f>
        <v>-10224519000</v>
      </c>
      <c r="AN51" s="44">
        <f>HLOOKUP($A51,'SP export'!$G$15:$XFD$25,'SP export'!$A$20,)</f>
        <v>-9451.5169999999998</v>
      </c>
      <c r="AO51" s="44">
        <f>HLOOKUP($A51,'SP export'!$G$15:$XFD$25,'SP export'!$A$21,)</f>
        <v>-1195999900</v>
      </c>
      <c r="AP51" s="44">
        <f>HLOOKUP($A51,'SP export'!$G$15:$XFD$25,'SP export'!$A$22,)</f>
        <v>-553951520000</v>
      </c>
      <c r="AQ51" s="44">
        <f>HLOOKUP($A51,'SP export'!$G$15:$XFD$25,'SP export'!$A$23,)</f>
        <v>-464334270</v>
      </c>
      <c r="AS51" s="44"/>
    </row>
    <row r="52" spans="1:45" ht="56" customHeight="1">
      <c r="A52" s="45" t="s">
        <v>970</v>
      </c>
      <c r="B52" s="20">
        <v>3</v>
      </c>
      <c r="C52" s="21" t="s">
        <v>436</v>
      </c>
      <c r="D52" s="25" t="s">
        <v>27</v>
      </c>
      <c r="E52" s="22" t="s">
        <v>36</v>
      </c>
      <c r="F52" s="22" t="s">
        <v>34</v>
      </c>
      <c r="G52" s="21" t="s">
        <v>404</v>
      </c>
      <c r="H52" s="24" t="s">
        <v>1021</v>
      </c>
      <c r="I52" s="24" t="s">
        <v>1021</v>
      </c>
      <c r="J52" s="48" t="s">
        <v>875</v>
      </c>
      <c r="K52" s="24"/>
      <c r="L52" s="21" t="s">
        <v>405</v>
      </c>
      <c r="M52" s="21" t="s">
        <v>406</v>
      </c>
      <c r="N52" s="21" t="s">
        <v>217</v>
      </c>
      <c r="O52" s="21" t="s">
        <v>217</v>
      </c>
      <c r="P52" s="21" t="s">
        <v>217</v>
      </c>
      <c r="Q52" s="21" t="s">
        <v>217</v>
      </c>
      <c r="R52" s="21" t="s">
        <v>407</v>
      </c>
      <c r="S52" s="21" t="s">
        <v>408</v>
      </c>
      <c r="T52" s="21" t="s">
        <v>409</v>
      </c>
      <c r="U52" s="21">
        <v>268</v>
      </c>
      <c r="V52" s="21" t="s">
        <v>639</v>
      </c>
      <c r="W52" s="21">
        <v>268</v>
      </c>
      <c r="X52" s="21" t="s">
        <v>410</v>
      </c>
      <c r="Y52" s="37" t="s">
        <v>30</v>
      </c>
      <c r="Z52" s="21"/>
      <c r="AA52" s="21" t="s">
        <v>217</v>
      </c>
      <c r="AB52" s="70">
        <v>2400</v>
      </c>
      <c r="AC52" s="22" t="s">
        <v>32</v>
      </c>
      <c r="AD52" s="22" t="s">
        <v>767</v>
      </c>
      <c r="AE52" s="23" t="s">
        <v>16</v>
      </c>
      <c r="AF52" s="25" t="s">
        <v>1091</v>
      </c>
      <c r="AG52" s="26" t="s">
        <v>35</v>
      </c>
      <c r="AH52" s="24" t="s">
        <v>411</v>
      </c>
      <c r="AI52" s="24" t="s">
        <v>412</v>
      </c>
      <c r="AJ52" s="60" t="s">
        <v>875</v>
      </c>
      <c r="AK52" s="23"/>
      <c r="AL52" s="23"/>
      <c r="AM52" s="44">
        <f>HLOOKUP($A52,'SP export'!$G$15:$XFD$25,'SP export'!$A$19,)</f>
        <v>-4998581.5</v>
      </c>
      <c r="AN52" s="44">
        <f>HLOOKUP($A52,'SP export'!$G$15:$XFD$25,'SP export'!$A$20,)</f>
        <v>-2.2620575000000001</v>
      </c>
      <c r="AO52" s="44">
        <f>HLOOKUP($A52,'SP export'!$G$15:$XFD$25,'SP export'!$A$21,)</f>
        <v>-334880.09000000003</v>
      </c>
      <c r="AP52" s="44">
        <f>HLOOKUP($A52,'SP export'!$G$15:$XFD$25,'SP export'!$A$22,)</f>
        <v>-49503758</v>
      </c>
      <c r="AQ52" s="44">
        <f>HLOOKUP($A52,'SP export'!$G$15:$XFD$25,'SP export'!$A$23,)</f>
        <v>-8979.35</v>
      </c>
      <c r="AS52" s="44"/>
    </row>
    <row r="53" spans="1:45" ht="56" customHeight="1">
      <c r="A53" s="45" t="s">
        <v>971</v>
      </c>
      <c r="B53" s="20">
        <v>5</v>
      </c>
      <c r="C53" s="24" t="s">
        <v>44</v>
      </c>
      <c r="D53" s="25" t="s">
        <v>45</v>
      </c>
      <c r="E53" s="25" t="s">
        <v>380</v>
      </c>
      <c r="F53" s="25" t="s">
        <v>19</v>
      </c>
      <c r="G53" s="21" t="s">
        <v>391</v>
      </c>
      <c r="H53" s="24" t="s">
        <v>874</v>
      </c>
      <c r="I53" s="24" t="s">
        <v>874</v>
      </c>
      <c r="J53" s="48" t="s">
        <v>875</v>
      </c>
      <c r="K53" s="48"/>
      <c r="L53" s="21" t="s">
        <v>422</v>
      </c>
      <c r="M53" s="21" t="s">
        <v>423</v>
      </c>
      <c r="N53" s="21">
        <v>231</v>
      </c>
      <c r="O53" s="21" t="s">
        <v>424</v>
      </c>
      <c r="P53" s="21">
        <v>231</v>
      </c>
      <c r="Q53" s="21" t="s">
        <v>424</v>
      </c>
      <c r="R53" s="21" t="s">
        <v>425</v>
      </c>
      <c r="S53" s="21" t="s">
        <v>426</v>
      </c>
      <c r="T53" s="21" t="s">
        <v>427</v>
      </c>
      <c r="U53" s="21">
        <v>15</v>
      </c>
      <c r="V53" s="21" t="s">
        <v>641</v>
      </c>
      <c r="W53" s="21">
        <v>9</v>
      </c>
      <c r="X53" s="21" t="s">
        <v>428</v>
      </c>
      <c r="Y53" s="21" t="s">
        <v>429</v>
      </c>
      <c r="Z53" s="21"/>
      <c r="AA53" s="37" t="s">
        <v>430</v>
      </c>
      <c r="AB53" s="70">
        <v>603000</v>
      </c>
      <c r="AC53" s="25" t="s">
        <v>50</v>
      </c>
      <c r="AD53" s="22" t="s">
        <v>377</v>
      </c>
      <c r="AE53" s="25" t="s">
        <v>16</v>
      </c>
      <c r="AF53" s="25" t="s">
        <v>1092</v>
      </c>
      <c r="AG53" s="25" t="s">
        <v>20</v>
      </c>
      <c r="AH53" s="24" t="s">
        <v>379</v>
      </c>
      <c r="AI53" s="24" t="s">
        <v>1252</v>
      </c>
      <c r="AJ53" s="60" t="s">
        <v>875</v>
      </c>
      <c r="AK53" s="23"/>
      <c r="AL53" s="23"/>
      <c r="AM53" s="44">
        <f>HLOOKUP($A53,'SP export'!$G$15:$XFD$25,'SP export'!$A$19,)</f>
        <v>-38688.093000000001</v>
      </c>
      <c r="AN53" s="44">
        <f>HLOOKUP($A53,'SP export'!$G$15:$XFD$25,'SP export'!$A$20,)</f>
        <v>-0.18054476</v>
      </c>
      <c r="AO53" s="44">
        <f>HLOOKUP($A53,'SP export'!$G$15:$XFD$25,'SP export'!$A$21,)</f>
        <v>-155601.88</v>
      </c>
      <c r="AP53" s="44">
        <f>HLOOKUP($A53,'SP export'!$G$15:$XFD$25,'SP export'!$A$22,)</f>
        <v>-436825.8</v>
      </c>
      <c r="AQ53" s="44">
        <f>HLOOKUP($A53,'SP export'!$G$15:$XFD$25,'SP export'!$A$23,)</f>
        <v>-1945.4119000000001</v>
      </c>
      <c r="AS53" s="44"/>
    </row>
    <row r="54" spans="1:45" ht="56" customHeight="1">
      <c r="A54" s="45" t="s">
        <v>972</v>
      </c>
      <c r="B54" s="20">
        <v>9</v>
      </c>
      <c r="C54" s="24" t="s">
        <v>65</v>
      </c>
      <c r="D54" s="25" t="s">
        <v>65</v>
      </c>
      <c r="E54" s="22" t="s">
        <v>36</v>
      </c>
      <c r="F54" s="25" t="s">
        <v>19</v>
      </c>
      <c r="G54" s="21" t="s">
        <v>425</v>
      </c>
      <c r="H54" s="24" t="s">
        <v>1021</v>
      </c>
      <c r="I54" s="24" t="s">
        <v>1021</v>
      </c>
      <c r="J54" s="48" t="s">
        <v>878</v>
      </c>
      <c r="K54" s="24"/>
      <c r="L54" s="21" t="s">
        <v>453</v>
      </c>
      <c r="M54" s="21" t="s">
        <v>454</v>
      </c>
      <c r="N54" s="21">
        <v>104</v>
      </c>
      <c r="O54" s="21" t="s">
        <v>455</v>
      </c>
      <c r="P54" s="21">
        <v>104</v>
      </c>
      <c r="Q54" s="21" t="s">
        <v>456</v>
      </c>
      <c r="R54" s="21" t="s">
        <v>439</v>
      </c>
      <c r="S54" s="21" t="s">
        <v>440</v>
      </c>
      <c r="T54" s="21" t="s">
        <v>441</v>
      </c>
      <c r="U54" s="21">
        <v>19</v>
      </c>
      <c r="V54" s="21" t="s">
        <v>442</v>
      </c>
      <c r="W54" s="21">
        <v>5</v>
      </c>
      <c r="X54" s="21" t="s">
        <v>443</v>
      </c>
      <c r="Y54" s="37" t="s">
        <v>99</v>
      </c>
      <c r="Z54" s="21"/>
      <c r="AA54" s="21" t="s">
        <v>457</v>
      </c>
      <c r="AB54" s="70">
        <v>1018000</v>
      </c>
      <c r="AC54" s="25" t="s">
        <v>17</v>
      </c>
      <c r="AD54" s="22" t="s">
        <v>378</v>
      </c>
      <c r="AE54" s="25" t="s">
        <v>16</v>
      </c>
      <c r="AF54" s="25" t="s">
        <v>100</v>
      </c>
      <c r="AG54" s="25" t="s">
        <v>20</v>
      </c>
      <c r="AH54" s="24" t="s">
        <v>379</v>
      </c>
      <c r="AI54" s="24" t="s">
        <v>458</v>
      </c>
      <c r="AJ54" s="60" t="s">
        <v>875</v>
      </c>
      <c r="AK54" s="23"/>
      <c r="AL54" s="23"/>
      <c r="AM54" s="44">
        <f>HLOOKUP($A54,'SP export'!$G$15:$XFD$25,'SP export'!$A$19,)</f>
        <v>-110097770</v>
      </c>
      <c r="AN54" s="44">
        <f>HLOOKUP($A54,'SP export'!$G$15:$XFD$25,'SP export'!$A$20,)</f>
        <v>-804.60463000000004</v>
      </c>
      <c r="AO54" s="44">
        <f>HLOOKUP($A54,'SP export'!$G$15:$XFD$25,'SP export'!$A$21,)</f>
        <v>-81044672</v>
      </c>
      <c r="AP54" s="44">
        <f>HLOOKUP($A54,'SP export'!$G$15:$XFD$25,'SP export'!$A$22,)</f>
        <v>-7526784100</v>
      </c>
      <c r="AQ54" s="44">
        <f>HLOOKUP($A54,'SP export'!$G$15:$XFD$25,'SP export'!$A$23,)</f>
        <v>-72587192</v>
      </c>
      <c r="AS54" s="44"/>
    </row>
    <row r="55" spans="1:45" ht="56" customHeight="1">
      <c r="A55" s="45" t="s">
        <v>973</v>
      </c>
      <c r="B55" s="20">
        <v>10</v>
      </c>
      <c r="C55" s="24" t="s">
        <v>65</v>
      </c>
      <c r="D55" s="25" t="s">
        <v>65</v>
      </c>
      <c r="E55" s="22" t="s">
        <v>36</v>
      </c>
      <c r="F55" s="25" t="s">
        <v>19</v>
      </c>
      <c r="G55" s="21" t="s">
        <v>425</v>
      </c>
      <c r="H55" s="24" t="s">
        <v>1021</v>
      </c>
      <c r="I55" s="24" t="s">
        <v>1021</v>
      </c>
      <c r="J55" s="48" t="s">
        <v>878</v>
      </c>
      <c r="K55" s="24"/>
      <c r="L55" s="21" t="s">
        <v>459</v>
      </c>
      <c r="M55" s="21" t="s">
        <v>460</v>
      </c>
      <c r="N55" s="21">
        <v>33</v>
      </c>
      <c r="O55" s="21" t="s">
        <v>461</v>
      </c>
      <c r="P55" s="21">
        <v>33</v>
      </c>
      <c r="Q55" s="21" t="s">
        <v>462</v>
      </c>
      <c r="R55" s="21" t="s">
        <v>439</v>
      </c>
      <c r="S55" s="21" t="s">
        <v>440</v>
      </c>
      <c r="T55" s="21" t="s">
        <v>441</v>
      </c>
      <c r="U55" s="21">
        <v>19</v>
      </c>
      <c r="V55" s="21" t="s">
        <v>442</v>
      </c>
      <c r="W55" s="21">
        <v>5</v>
      </c>
      <c r="X55" s="21" t="s">
        <v>443</v>
      </c>
      <c r="Y55" s="21" t="s">
        <v>101</v>
      </c>
      <c r="Z55" s="49"/>
      <c r="AA55" s="37" t="s">
        <v>1093</v>
      </c>
      <c r="AB55" s="70">
        <f>AVERAGE(1129950,2043210)</f>
        <v>1586580</v>
      </c>
      <c r="AC55" s="25" t="s">
        <v>17</v>
      </c>
      <c r="AD55" s="22" t="s">
        <v>378</v>
      </c>
      <c r="AE55" s="26" t="s">
        <v>16</v>
      </c>
      <c r="AF55" s="25" t="s">
        <v>103</v>
      </c>
      <c r="AG55" s="25" t="s">
        <v>20</v>
      </c>
      <c r="AH55" s="24" t="s">
        <v>379</v>
      </c>
      <c r="AI55" s="24" t="s">
        <v>458</v>
      </c>
      <c r="AJ55" s="60" t="s">
        <v>875</v>
      </c>
      <c r="AK55" s="23"/>
      <c r="AL55" s="23"/>
      <c r="AM55" s="44">
        <f>HLOOKUP($A55,'SP export'!$G$15:$XFD$25,'SP export'!$A$19,)</f>
        <v>-171590290</v>
      </c>
      <c r="AN55" s="44">
        <f>HLOOKUP($A55,'SP export'!$G$15:$XFD$25,'SP export'!$A$20,)</f>
        <v>-1253.9975999999999</v>
      </c>
      <c r="AO55" s="44">
        <f>HLOOKUP($A55,'SP export'!$G$15:$XFD$25,'SP export'!$A$21,)</f>
        <v>-126310270</v>
      </c>
      <c r="AP55" s="44">
        <f>HLOOKUP($A55,'SP export'!$G$15:$XFD$25,'SP export'!$A$22,)</f>
        <v>-11730693000</v>
      </c>
      <c r="AQ55" s="44">
        <f>HLOOKUP($A55,'SP export'!$G$15:$XFD$25,'SP export'!$A$23,)</f>
        <v>-113129060</v>
      </c>
      <c r="AS55" s="44"/>
    </row>
    <row r="56" spans="1:45" ht="56" customHeight="1">
      <c r="A56" s="45" t="s">
        <v>1208</v>
      </c>
      <c r="B56" s="20">
        <v>16</v>
      </c>
      <c r="C56" s="24" t="s">
        <v>68</v>
      </c>
      <c r="D56" s="25" t="s">
        <v>68</v>
      </c>
      <c r="E56" s="22" t="s">
        <v>21</v>
      </c>
      <c r="F56" s="25" t="s">
        <v>19</v>
      </c>
      <c r="G56" s="21" t="s">
        <v>391</v>
      </c>
      <c r="H56" s="24" t="s">
        <v>1021</v>
      </c>
      <c r="I56" s="24" t="s">
        <v>1021</v>
      </c>
      <c r="J56" s="48" t="s">
        <v>878</v>
      </c>
      <c r="K56" s="24"/>
      <c r="L56" s="21" t="s">
        <v>392</v>
      </c>
      <c r="M56" s="21" t="s">
        <v>392</v>
      </c>
      <c r="N56" s="21">
        <v>38</v>
      </c>
      <c r="O56" s="21" t="s">
        <v>507</v>
      </c>
      <c r="P56" s="21"/>
      <c r="Q56" s="21" t="s">
        <v>508</v>
      </c>
      <c r="R56" s="21" t="s">
        <v>499</v>
      </c>
      <c r="S56" s="21" t="s">
        <v>500</v>
      </c>
      <c r="T56" s="21" t="s">
        <v>509</v>
      </c>
      <c r="U56" s="21">
        <v>192</v>
      </c>
      <c r="V56" s="21" t="s">
        <v>502</v>
      </c>
      <c r="W56" s="21">
        <v>16</v>
      </c>
      <c r="X56" s="21" t="s">
        <v>510</v>
      </c>
      <c r="Y56" s="21" t="s">
        <v>118</v>
      </c>
      <c r="Z56" s="21"/>
      <c r="AA56" s="37" t="s">
        <v>511</v>
      </c>
      <c r="AB56" s="70">
        <v>8800</v>
      </c>
      <c r="AC56" s="25" t="s">
        <v>50</v>
      </c>
      <c r="AD56" s="22" t="s">
        <v>377</v>
      </c>
      <c r="AE56" s="26" t="s">
        <v>16</v>
      </c>
      <c r="AF56" s="25" t="s">
        <v>120</v>
      </c>
      <c r="AG56" s="25" t="s">
        <v>20</v>
      </c>
      <c r="AH56" s="24" t="s">
        <v>379</v>
      </c>
      <c r="AI56" s="24" t="s">
        <v>512</v>
      </c>
      <c r="AJ56" s="60" t="s">
        <v>875</v>
      </c>
      <c r="AK56" s="23"/>
      <c r="AL56" s="23"/>
      <c r="AM56" s="44">
        <f>HLOOKUP($A56,'SP export'!$G$15:$XFD$25,'SP export'!$A$19,)</f>
        <v>-9341.6833999999999</v>
      </c>
      <c r="AN56" s="44">
        <f>HLOOKUP($A56,'SP export'!$G$15:$XFD$25,'SP export'!$A$20,)</f>
        <v>-5.0390458999999997E-3</v>
      </c>
      <c r="AO56" s="44">
        <f>HLOOKUP($A56,'SP export'!$G$15:$XFD$25,'SP export'!$A$21,)</f>
        <v>-650.63753999999994</v>
      </c>
      <c r="AP56" s="44">
        <f>HLOOKUP($A56,'SP export'!$G$15:$XFD$25,'SP export'!$A$22,)</f>
        <v>-44804.224999999999</v>
      </c>
      <c r="AQ56" s="44">
        <f>HLOOKUP($A56,'SP export'!$G$15:$XFD$25,'SP export'!$A$23,)</f>
        <v>-379.46276</v>
      </c>
      <c r="AS56" s="44"/>
    </row>
    <row r="57" spans="1:45" ht="56" customHeight="1">
      <c r="A57" s="45" t="s">
        <v>974</v>
      </c>
      <c r="B57" s="20">
        <v>17</v>
      </c>
      <c r="C57" s="24" t="s">
        <v>12</v>
      </c>
      <c r="D57" s="25" t="s">
        <v>12</v>
      </c>
      <c r="E57" s="22" t="s">
        <v>21</v>
      </c>
      <c r="F57" s="25" t="s">
        <v>19</v>
      </c>
      <c r="G57" s="21" t="s">
        <v>404</v>
      </c>
      <c r="H57" s="24" t="s">
        <v>1021</v>
      </c>
      <c r="I57" s="24" t="s">
        <v>1021</v>
      </c>
      <c r="J57" s="48" t="s">
        <v>878</v>
      </c>
      <c r="K57" s="24"/>
      <c r="L57" s="21" t="s">
        <v>513</v>
      </c>
      <c r="M57" s="21" t="s">
        <v>514</v>
      </c>
      <c r="N57" s="21">
        <v>13</v>
      </c>
      <c r="O57" s="21" t="s">
        <v>515</v>
      </c>
      <c r="P57" s="21">
        <v>7</v>
      </c>
      <c r="Q57" s="21" t="s">
        <v>516</v>
      </c>
      <c r="R57" s="21" t="s">
        <v>394</v>
      </c>
      <c r="S57" s="21" t="s">
        <v>401</v>
      </c>
      <c r="T57" s="21" t="s">
        <v>402</v>
      </c>
      <c r="U57" s="21">
        <v>140</v>
      </c>
      <c r="V57" s="21" t="s">
        <v>517</v>
      </c>
      <c r="W57" s="21">
        <v>140</v>
      </c>
      <c r="X57" s="21" t="s">
        <v>517</v>
      </c>
      <c r="Y57" s="37" t="s">
        <v>122</v>
      </c>
      <c r="Z57" s="21"/>
      <c r="AA57" s="21" t="s">
        <v>518</v>
      </c>
      <c r="AB57" s="70">
        <v>156500</v>
      </c>
      <c r="AC57" s="25" t="s">
        <v>56</v>
      </c>
      <c r="AD57" s="22" t="s">
        <v>378</v>
      </c>
      <c r="AE57" s="25" t="s">
        <v>16</v>
      </c>
      <c r="AF57" s="25" t="s">
        <v>123</v>
      </c>
      <c r="AG57" s="25" t="s">
        <v>20</v>
      </c>
      <c r="AH57" s="24" t="s">
        <v>379</v>
      </c>
      <c r="AI57" s="24" t="s">
        <v>519</v>
      </c>
      <c r="AJ57" s="60" t="s">
        <v>875</v>
      </c>
      <c r="AK57" s="23"/>
      <c r="AL57" s="23"/>
      <c r="AM57" s="44">
        <f>HLOOKUP($A57,'SP export'!$G$15:$XFD$25,'SP export'!$A$19,)</f>
        <v>-17410557</v>
      </c>
      <c r="AN57" s="44">
        <f>HLOOKUP($A57,'SP export'!$G$15:$XFD$25,'SP export'!$A$20,)</f>
        <v>-7.2191390000000002</v>
      </c>
      <c r="AO57" s="44">
        <f>HLOOKUP($A57,'SP export'!$G$15:$XFD$25,'SP export'!$A$21,)</f>
        <v>-1497054.9</v>
      </c>
      <c r="AP57" s="44">
        <f>HLOOKUP($A57,'SP export'!$G$15:$XFD$25,'SP export'!$A$22,)</f>
        <v>-622514940</v>
      </c>
      <c r="AQ57" s="44">
        <f>HLOOKUP($A57,'SP export'!$G$15:$XFD$25,'SP export'!$A$23,)</f>
        <v>-1235016.1000000001</v>
      </c>
      <c r="AS57" s="44"/>
    </row>
    <row r="58" spans="1:45" ht="56" customHeight="1">
      <c r="A58" s="45" t="s">
        <v>975</v>
      </c>
      <c r="B58" s="20">
        <v>18</v>
      </c>
      <c r="C58" s="24" t="s">
        <v>12</v>
      </c>
      <c r="D58" s="25" t="s">
        <v>12</v>
      </c>
      <c r="E58" s="22" t="s">
        <v>21</v>
      </c>
      <c r="F58" s="25" t="s">
        <v>19</v>
      </c>
      <c r="G58" s="21" t="s">
        <v>439</v>
      </c>
      <c r="H58" s="24" t="s">
        <v>1021</v>
      </c>
      <c r="I58" s="24" t="s">
        <v>1021</v>
      </c>
      <c r="J58" s="48" t="s">
        <v>875</v>
      </c>
      <c r="K58" s="24"/>
      <c r="L58" s="21" t="s">
        <v>478</v>
      </c>
      <c r="M58" s="21" t="s">
        <v>479</v>
      </c>
      <c r="N58" s="21">
        <v>15</v>
      </c>
      <c r="O58" s="21" t="s">
        <v>480</v>
      </c>
      <c r="P58" s="21"/>
      <c r="Q58" s="21" t="s">
        <v>481</v>
      </c>
      <c r="R58" s="21" t="s">
        <v>394</v>
      </c>
      <c r="S58" s="21" t="s">
        <v>395</v>
      </c>
      <c r="T58" s="21" t="s">
        <v>396</v>
      </c>
      <c r="U58" s="21">
        <v>38</v>
      </c>
      <c r="V58" s="21" t="s">
        <v>520</v>
      </c>
      <c r="W58" s="21"/>
      <c r="X58" s="21" t="s">
        <v>520</v>
      </c>
      <c r="Y58" s="37" t="s">
        <v>1094</v>
      </c>
      <c r="Z58" s="21"/>
      <c r="AA58" s="21" t="s">
        <v>521</v>
      </c>
      <c r="AB58" s="70">
        <f>AVERAGE(6183,19236)</f>
        <v>12709.5</v>
      </c>
      <c r="AC58" s="25" t="s">
        <v>56</v>
      </c>
      <c r="AD58" s="22" t="s">
        <v>378</v>
      </c>
      <c r="AE58" s="26" t="s">
        <v>16</v>
      </c>
      <c r="AF58" s="25" t="s">
        <v>123</v>
      </c>
      <c r="AG58" s="25" t="s">
        <v>20</v>
      </c>
      <c r="AH58" s="24" t="s">
        <v>379</v>
      </c>
      <c r="AI58" s="24" t="s">
        <v>522</v>
      </c>
      <c r="AJ58" s="60" t="s">
        <v>875</v>
      </c>
      <c r="AK58" s="23"/>
      <c r="AL58" s="23"/>
      <c r="AM58" s="44">
        <f>HLOOKUP($A58,'SP export'!$G$15:$XFD$25,'SP export'!$A$19,)</f>
        <v>-28279639</v>
      </c>
      <c r="AN58" s="44">
        <f>HLOOKUP($A58,'SP export'!$G$15:$XFD$25,'SP export'!$A$20,)</f>
        <v>-11.725911</v>
      </c>
      <c r="AO58" s="44">
        <f>HLOOKUP($A58,'SP export'!$G$15:$XFD$25,'SP export'!$A$21,)</f>
        <v>-2431638</v>
      </c>
      <c r="AP58" s="44">
        <f>HLOOKUP($A58,'SP export'!$G$15:$XFD$25,'SP export'!$A$22,)</f>
        <v>-1011139300</v>
      </c>
      <c r="AQ58" s="44">
        <f>HLOOKUP($A58,'SP export'!$G$15:$XFD$25,'SP export'!$A$23,)</f>
        <v>-2006013.3</v>
      </c>
      <c r="AS58" s="44"/>
    </row>
    <row r="59" spans="1:45" ht="56" customHeight="1">
      <c r="A59" s="45" t="s">
        <v>976</v>
      </c>
      <c r="B59" s="20">
        <v>19</v>
      </c>
      <c r="C59" s="24" t="s">
        <v>12</v>
      </c>
      <c r="D59" s="25" t="s">
        <v>12</v>
      </c>
      <c r="E59" s="22" t="s">
        <v>21</v>
      </c>
      <c r="F59" s="25" t="s">
        <v>19</v>
      </c>
      <c r="G59" s="21" t="s">
        <v>404</v>
      </c>
      <c r="H59" s="24" t="s">
        <v>1021</v>
      </c>
      <c r="I59" s="24" t="s">
        <v>1021</v>
      </c>
      <c r="J59" s="48" t="s">
        <v>875</v>
      </c>
      <c r="K59" s="24"/>
      <c r="L59" s="21" t="s">
        <v>413</v>
      </c>
      <c r="M59" s="21" t="s">
        <v>414</v>
      </c>
      <c r="N59" s="21">
        <v>39</v>
      </c>
      <c r="O59" s="21" t="s">
        <v>523</v>
      </c>
      <c r="P59" s="21"/>
      <c r="Q59" s="21" t="s">
        <v>524</v>
      </c>
      <c r="R59" s="21" t="s">
        <v>394</v>
      </c>
      <c r="S59" s="21" t="s">
        <v>525</v>
      </c>
      <c r="T59" s="21" t="s">
        <v>526</v>
      </c>
      <c r="U59" s="21">
        <v>309</v>
      </c>
      <c r="V59" s="21" t="s">
        <v>527</v>
      </c>
      <c r="W59" s="21">
        <v>309</v>
      </c>
      <c r="X59" s="21" t="s">
        <v>527</v>
      </c>
      <c r="Y59" s="37" t="s">
        <v>1231</v>
      </c>
      <c r="Z59" s="21"/>
      <c r="AA59" s="24"/>
      <c r="AB59" s="70">
        <f>AVERAGE(271619,349225)</f>
        <v>310422</v>
      </c>
      <c r="AC59" s="25" t="s">
        <v>56</v>
      </c>
      <c r="AD59" s="22" t="s">
        <v>378</v>
      </c>
      <c r="AE59" s="26" t="s">
        <v>16</v>
      </c>
      <c r="AF59" s="25" t="s">
        <v>123</v>
      </c>
      <c r="AG59" s="25" t="s">
        <v>20</v>
      </c>
      <c r="AH59" s="24" t="s">
        <v>379</v>
      </c>
      <c r="AI59" s="24" t="s">
        <v>522</v>
      </c>
      <c r="AJ59" s="60" t="s">
        <v>875</v>
      </c>
      <c r="AK59" s="23"/>
      <c r="AL59" s="23"/>
      <c r="AM59" s="44">
        <f>HLOOKUP($A59,'SP export'!$G$15:$XFD$25,'SP export'!$A$19,)</f>
        <v>-690686250</v>
      </c>
      <c r="AN59" s="44">
        <f>HLOOKUP($A59,'SP export'!$G$15:$XFD$25,'SP export'!$A$20,)</f>
        <v>-286.38715999999999</v>
      </c>
      <c r="AO59" s="44">
        <f>HLOOKUP($A59,'SP export'!$G$15:$XFD$25,'SP export'!$A$21,)</f>
        <v>-59388980</v>
      </c>
      <c r="AP59" s="44">
        <f>HLOOKUP($A59,'SP export'!$G$15:$XFD$25,'SP export'!$A$22,)</f>
        <v>-24695506000</v>
      </c>
      <c r="AQ59" s="44">
        <f>HLOOKUP($A59,'SP export'!$G$15:$XFD$25,'SP export'!$A$23,)</f>
        <v>-48993758</v>
      </c>
      <c r="AS59" s="44"/>
    </row>
    <row r="60" spans="1:45" ht="56" customHeight="1">
      <c r="A60" s="45" t="s">
        <v>977</v>
      </c>
      <c r="B60" s="20">
        <v>20</v>
      </c>
      <c r="C60" s="24" t="s">
        <v>69</v>
      </c>
      <c r="D60" s="25" t="s">
        <v>69</v>
      </c>
      <c r="E60" s="22" t="s">
        <v>380</v>
      </c>
      <c r="F60" s="25" t="s">
        <v>19</v>
      </c>
      <c r="G60" s="21" t="s">
        <v>391</v>
      </c>
      <c r="H60" s="24" t="s">
        <v>874</v>
      </c>
      <c r="I60" s="24" t="s">
        <v>874</v>
      </c>
      <c r="J60" s="48" t="s">
        <v>878</v>
      </c>
      <c r="K60" s="24"/>
      <c r="L60" s="21" t="s">
        <v>431</v>
      </c>
      <c r="M60" s="21" t="s">
        <v>432</v>
      </c>
      <c r="N60" s="21">
        <v>101</v>
      </c>
      <c r="O60" s="21" t="s">
        <v>528</v>
      </c>
      <c r="P60" s="21">
        <v>101</v>
      </c>
      <c r="Q60" s="21" t="s">
        <v>529</v>
      </c>
      <c r="R60" s="21" t="s">
        <v>425</v>
      </c>
      <c r="S60" s="21" t="s">
        <v>530</v>
      </c>
      <c r="T60" s="21" t="s">
        <v>531</v>
      </c>
      <c r="U60" s="21"/>
      <c r="V60" s="21" t="s">
        <v>532</v>
      </c>
      <c r="W60" s="21">
        <v>7</v>
      </c>
      <c r="X60" s="21" t="s">
        <v>533</v>
      </c>
      <c r="Y60" s="37" t="s">
        <v>1095</v>
      </c>
      <c r="Z60" s="21"/>
      <c r="AA60" s="21" t="s">
        <v>217</v>
      </c>
      <c r="AB60" s="70">
        <f>AVERAGE(70,8156)</f>
        <v>4113</v>
      </c>
      <c r="AC60" s="25" t="s">
        <v>50</v>
      </c>
      <c r="AD60" s="22" t="s">
        <v>377</v>
      </c>
      <c r="AE60" s="26" t="s">
        <v>16</v>
      </c>
      <c r="AF60" s="25" t="s">
        <v>129</v>
      </c>
      <c r="AG60" s="25" t="s">
        <v>20</v>
      </c>
      <c r="AH60" s="24" t="s">
        <v>379</v>
      </c>
      <c r="AI60" s="24" t="s">
        <v>534</v>
      </c>
      <c r="AJ60" s="60" t="s">
        <v>875</v>
      </c>
      <c r="AK60" s="23"/>
      <c r="AL60" s="23"/>
      <c r="AM60" s="44">
        <f>HLOOKUP($A60,'SP export'!$G$15:$XFD$25,'SP export'!$A$19,)</f>
        <v>-1550.4975999999999</v>
      </c>
      <c r="AN60" s="44">
        <f>HLOOKUP($A60,'SP export'!$G$15:$XFD$25,'SP export'!$A$20,)</f>
        <v>-2.5233855999999999E-2</v>
      </c>
      <c r="AO60" s="44">
        <f>HLOOKUP($A60,'SP export'!$G$15:$XFD$25,'SP export'!$A$21,)</f>
        <v>-4408.7965999999997</v>
      </c>
      <c r="AP60" s="44">
        <f>HLOOKUP($A60,'SP export'!$G$15:$XFD$25,'SP export'!$A$22,)</f>
        <v>-20308.73</v>
      </c>
      <c r="AQ60" s="44">
        <f>HLOOKUP($A60,'SP export'!$G$15:$XFD$25,'SP export'!$A$23,)</f>
        <v>-105.31694</v>
      </c>
      <c r="AS60" s="44"/>
    </row>
    <row r="61" spans="1:45" ht="56" customHeight="1">
      <c r="A61" s="45" t="s">
        <v>978</v>
      </c>
      <c r="B61" s="20">
        <v>21</v>
      </c>
      <c r="C61" s="24" t="s">
        <v>70</v>
      </c>
      <c r="D61" s="25" t="s">
        <v>70</v>
      </c>
      <c r="E61" s="22" t="s">
        <v>43</v>
      </c>
      <c r="F61" s="25" t="s">
        <v>19</v>
      </c>
      <c r="G61" s="21" t="s">
        <v>391</v>
      </c>
      <c r="H61" s="24" t="s">
        <v>874</v>
      </c>
      <c r="I61" s="24" t="s">
        <v>874</v>
      </c>
      <c r="J61" s="48" t="s">
        <v>878</v>
      </c>
      <c r="K61" s="24"/>
      <c r="L61" s="21" t="s">
        <v>392</v>
      </c>
      <c r="M61" s="21" t="s">
        <v>392</v>
      </c>
      <c r="N61" s="21">
        <v>38</v>
      </c>
      <c r="O61" s="21" t="s">
        <v>507</v>
      </c>
      <c r="P61" s="21"/>
      <c r="Q61" s="21" t="s">
        <v>508</v>
      </c>
      <c r="R61" s="21" t="s">
        <v>499</v>
      </c>
      <c r="S61" s="21" t="s">
        <v>500</v>
      </c>
      <c r="T61" s="21" t="s">
        <v>509</v>
      </c>
      <c r="U61" s="21">
        <v>192</v>
      </c>
      <c r="V61" s="21" t="s">
        <v>502</v>
      </c>
      <c r="W61" s="21">
        <v>16</v>
      </c>
      <c r="X61" s="21" t="s">
        <v>510</v>
      </c>
      <c r="Y61" s="21" t="s">
        <v>130</v>
      </c>
      <c r="Z61" s="21"/>
      <c r="AA61" s="37" t="s">
        <v>1096</v>
      </c>
      <c r="AB61" s="70">
        <f>AVERAGE(61600,70400)</f>
        <v>66000</v>
      </c>
      <c r="AC61" s="25" t="s">
        <v>50</v>
      </c>
      <c r="AD61" s="22" t="s">
        <v>378</v>
      </c>
      <c r="AE61" s="26" t="s">
        <v>16</v>
      </c>
      <c r="AF61" s="25" t="s">
        <v>131</v>
      </c>
      <c r="AG61" s="25" t="s">
        <v>20</v>
      </c>
      <c r="AH61" s="24" t="s">
        <v>379</v>
      </c>
      <c r="AI61" s="24" t="s">
        <v>535</v>
      </c>
      <c r="AJ61" s="60" t="s">
        <v>875</v>
      </c>
      <c r="AK61" s="23"/>
      <c r="AL61" s="23"/>
      <c r="AM61" s="44">
        <f>HLOOKUP($A61,'SP export'!$G$15:$XFD$25,'SP export'!$A$19,)</f>
        <v>-17086973</v>
      </c>
      <c r="AN61" s="44">
        <f>HLOOKUP($A61,'SP export'!$G$15:$XFD$25,'SP export'!$A$20,)</f>
        <v>-43.917231000000001</v>
      </c>
      <c r="AO61" s="44">
        <f>HLOOKUP($A61,'SP export'!$G$15:$XFD$25,'SP export'!$A$21,)</f>
        <v>-6548107.5</v>
      </c>
      <c r="AP61" s="44">
        <f>HLOOKUP($A61,'SP export'!$G$15:$XFD$25,'SP export'!$A$22,)</f>
        <v>-2075919200</v>
      </c>
      <c r="AQ61" s="44">
        <f>HLOOKUP($A61,'SP export'!$G$15:$XFD$25,'SP export'!$A$23,)</f>
        <v>-333161.09000000003</v>
      </c>
      <c r="AS61" s="44"/>
    </row>
    <row r="62" spans="1:45" ht="56" customHeight="1">
      <c r="A62" s="45" t="s">
        <v>979</v>
      </c>
      <c r="B62" s="20">
        <v>31</v>
      </c>
      <c r="C62" s="24" t="s">
        <v>80</v>
      </c>
      <c r="D62" s="25" t="s">
        <v>80</v>
      </c>
      <c r="E62" s="22" t="s">
        <v>43</v>
      </c>
      <c r="F62" s="25" t="s">
        <v>19</v>
      </c>
      <c r="G62" s="21" t="s">
        <v>425</v>
      </c>
      <c r="H62" s="24" t="s">
        <v>874</v>
      </c>
      <c r="I62" s="24" t="s">
        <v>874</v>
      </c>
      <c r="J62" s="48" t="s">
        <v>875</v>
      </c>
      <c r="K62" s="24"/>
      <c r="L62" s="21" t="s">
        <v>474</v>
      </c>
      <c r="M62" s="21" t="s">
        <v>475</v>
      </c>
      <c r="N62" s="21">
        <v>18</v>
      </c>
      <c r="O62" s="21" t="s">
        <v>476</v>
      </c>
      <c r="P62" s="21"/>
      <c r="Q62" s="21" t="s">
        <v>532</v>
      </c>
      <c r="R62" s="21" t="s">
        <v>407</v>
      </c>
      <c r="S62" s="21" t="s">
        <v>408</v>
      </c>
      <c r="T62" s="21" t="s">
        <v>434</v>
      </c>
      <c r="U62" s="21">
        <v>268</v>
      </c>
      <c r="V62" s="21" t="s">
        <v>445</v>
      </c>
      <c r="W62" s="21">
        <v>268</v>
      </c>
      <c r="X62" s="21" t="s">
        <v>546</v>
      </c>
      <c r="Y62" s="37" t="s">
        <v>1097</v>
      </c>
      <c r="Z62" s="21"/>
      <c r="AA62" s="21" t="s">
        <v>217</v>
      </c>
      <c r="AB62" s="70">
        <f>AVERAGE(2976000,4216000)</f>
        <v>3596000</v>
      </c>
      <c r="AC62" s="25" t="s">
        <v>17</v>
      </c>
      <c r="AD62" s="22" t="s">
        <v>378</v>
      </c>
      <c r="AE62" s="26" t="s">
        <v>16</v>
      </c>
      <c r="AF62" s="25" t="s">
        <v>151</v>
      </c>
      <c r="AG62" s="25" t="s">
        <v>20</v>
      </c>
      <c r="AH62" s="24" t="s">
        <v>379</v>
      </c>
      <c r="AI62" s="24" t="s">
        <v>555</v>
      </c>
      <c r="AJ62" s="60" t="s">
        <v>875</v>
      </c>
      <c r="AK62" s="23"/>
      <c r="AL62" s="23"/>
      <c r="AM62" s="44">
        <f>HLOOKUP($A62,'SP export'!$G$15:$XFD$25,'SP export'!$A$19,)</f>
        <v>-4953541300</v>
      </c>
      <c r="AN62" s="44">
        <f>HLOOKUP($A62,'SP export'!$G$15:$XFD$25,'SP export'!$A$20,)</f>
        <v>-7682.3348999999998</v>
      </c>
      <c r="AO62" s="44">
        <f>HLOOKUP($A62,'SP export'!$G$15:$XFD$25,'SP export'!$A$21,)</f>
        <v>-2002798500</v>
      </c>
      <c r="AP62" s="44">
        <f>HLOOKUP($A62,'SP export'!$G$15:$XFD$25,'SP export'!$A$22,)</f>
        <v>-78071597000</v>
      </c>
      <c r="AQ62" s="44">
        <f>HLOOKUP($A62,'SP export'!$G$15:$XFD$25,'SP export'!$A$23,)</f>
        <v>-145000010</v>
      </c>
      <c r="AS62" s="44"/>
    </row>
    <row r="63" spans="1:45" ht="56" customHeight="1">
      <c r="A63" s="45" t="s">
        <v>980</v>
      </c>
      <c r="B63" s="20">
        <v>32</v>
      </c>
      <c r="C63" s="24" t="s">
        <v>80</v>
      </c>
      <c r="D63" s="25" t="s">
        <v>80</v>
      </c>
      <c r="E63" s="22" t="s">
        <v>43</v>
      </c>
      <c r="F63" s="25" t="s">
        <v>19</v>
      </c>
      <c r="G63" s="21" t="s">
        <v>425</v>
      </c>
      <c r="H63" s="24" t="s">
        <v>874</v>
      </c>
      <c r="I63" s="24" t="s">
        <v>874</v>
      </c>
      <c r="J63" s="48" t="s">
        <v>878</v>
      </c>
      <c r="K63" s="24"/>
      <c r="L63" s="21" t="s">
        <v>474</v>
      </c>
      <c r="M63" s="21" t="s">
        <v>475</v>
      </c>
      <c r="N63" s="21">
        <v>18</v>
      </c>
      <c r="O63" s="21" t="s">
        <v>476</v>
      </c>
      <c r="P63" s="21"/>
      <c r="Q63" s="21" t="s">
        <v>532</v>
      </c>
      <c r="R63" s="21" t="s">
        <v>536</v>
      </c>
      <c r="S63" s="21" t="s">
        <v>541</v>
      </c>
      <c r="T63" s="21" t="s">
        <v>542</v>
      </c>
      <c r="U63" s="21">
        <v>64</v>
      </c>
      <c r="V63" s="21" t="s">
        <v>543</v>
      </c>
      <c r="W63" s="21"/>
      <c r="X63" s="21" t="s">
        <v>544</v>
      </c>
      <c r="Y63" s="37" t="s">
        <v>1097</v>
      </c>
      <c r="Z63" s="21"/>
      <c r="AA63" s="21" t="s">
        <v>217</v>
      </c>
      <c r="AB63" s="70">
        <f>AVERAGE(2976000,4216000)</f>
        <v>3596000</v>
      </c>
      <c r="AC63" s="25" t="s">
        <v>17</v>
      </c>
      <c r="AD63" s="22" t="s">
        <v>378</v>
      </c>
      <c r="AE63" s="26" t="s">
        <v>16</v>
      </c>
      <c r="AF63" s="25" t="s">
        <v>151</v>
      </c>
      <c r="AG63" s="25" t="s">
        <v>20</v>
      </c>
      <c r="AH63" s="24" t="s">
        <v>379</v>
      </c>
      <c r="AI63" s="24" t="s">
        <v>555</v>
      </c>
      <c r="AJ63" s="60" t="s">
        <v>875</v>
      </c>
      <c r="AK63" s="23"/>
      <c r="AL63" s="23"/>
      <c r="AM63" s="44">
        <f>HLOOKUP($A63,'SP export'!$G$15:$XFD$25,'SP export'!$A$19,)</f>
        <v>-4953541300</v>
      </c>
      <c r="AN63" s="44">
        <f>HLOOKUP($A63,'SP export'!$G$15:$XFD$25,'SP export'!$A$20,)</f>
        <v>-7682.3348999999998</v>
      </c>
      <c r="AO63" s="44">
        <f>HLOOKUP($A63,'SP export'!$G$15:$XFD$25,'SP export'!$A$21,)</f>
        <v>-2002798500</v>
      </c>
      <c r="AP63" s="44">
        <f>HLOOKUP($A63,'SP export'!$G$15:$XFD$25,'SP export'!$A$22,)</f>
        <v>-78071597000</v>
      </c>
      <c r="AQ63" s="44">
        <f>HLOOKUP($A63,'SP export'!$G$15:$XFD$25,'SP export'!$A$23,)</f>
        <v>-145000010</v>
      </c>
      <c r="AS63" s="44"/>
    </row>
    <row r="64" spans="1:45" ht="56" customHeight="1">
      <c r="A64" s="45" t="s">
        <v>981</v>
      </c>
      <c r="B64" s="20">
        <v>33</v>
      </c>
      <c r="C64" s="24" t="s">
        <v>81</v>
      </c>
      <c r="D64" s="25" t="s">
        <v>82</v>
      </c>
      <c r="E64" s="22" t="s">
        <v>43</v>
      </c>
      <c r="F64" s="25" t="s">
        <v>19</v>
      </c>
      <c r="G64" s="21" t="s">
        <v>556</v>
      </c>
      <c r="H64" s="24" t="s">
        <v>874</v>
      </c>
      <c r="I64" s="24" t="s">
        <v>874</v>
      </c>
      <c r="J64" s="48" t="s">
        <v>878</v>
      </c>
      <c r="K64" s="24"/>
      <c r="L64" s="21" t="s">
        <v>557</v>
      </c>
      <c r="M64" s="21" t="s">
        <v>558</v>
      </c>
      <c r="N64" s="21">
        <v>93</v>
      </c>
      <c r="O64" s="21" t="s">
        <v>559</v>
      </c>
      <c r="P64" s="21"/>
      <c r="Q64" s="21" t="s">
        <v>560</v>
      </c>
      <c r="R64" s="21" t="s">
        <v>391</v>
      </c>
      <c r="S64" s="21" t="s">
        <v>561</v>
      </c>
      <c r="T64" s="21" t="s">
        <v>562</v>
      </c>
      <c r="U64" s="21">
        <v>6</v>
      </c>
      <c r="V64" s="21" t="s">
        <v>563</v>
      </c>
      <c r="W64" s="21">
        <v>6</v>
      </c>
      <c r="X64" s="21" t="s">
        <v>564</v>
      </c>
      <c r="Y64" s="21" t="s">
        <v>154</v>
      </c>
      <c r="Z64" s="21"/>
      <c r="AA64" s="21" t="s">
        <v>217</v>
      </c>
      <c r="AB64" s="70">
        <f>AVERAGE(225760,669120)</f>
        <v>447440</v>
      </c>
      <c r="AC64" s="25" t="s">
        <v>17</v>
      </c>
      <c r="AD64" s="22" t="s">
        <v>378</v>
      </c>
      <c r="AE64" s="26" t="s">
        <v>16</v>
      </c>
      <c r="AF64" s="25" t="s">
        <v>368</v>
      </c>
      <c r="AG64" s="25" t="s">
        <v>20</v>
      </c>
      <c r="AH64" s="24" t="s">
        <v>379</v>
      </c>
      <c r="AI64" s="24" t="s">
        <v>1243</v>
      </c>
      <c r="AJ64" s="60" t="s">
        <v>875</v>
      </c>
      <c r="AK64" s="23"/>
      <c r="AL64" s="22"/>
      <c r="AM64" s="44">
        <f>HLOOKUP($A64,'SP export'!$G$15:$XFD$25,'SP export'!$A$19,)</f>
        <v>3323338</v>
      </c>
      <c r="AN64" s="44">
        <f>HLOOKUP($A64,'SP export'!$G$15:$XFD$25,'SP export'!$A$20,)</f>
        <v>9.4462367999999994</v>
      </c>
      <c r="AO64" s="44">
        <f>HLOOKUP($A64,'SP export'!$G$15:$XFD$25,'SP export'!$A$21,)</f>
        <v>2677038.5</v>
      </c>
      <c r="AP64" s="44">
        <f>HLOOKUP($A64,'SP export'!$G$15:$XFD$25,'SP export'!$A$22,)</f>
        <v>45002321</v>
      </c>
      <c r="AQ64" s="44">
        <f>HLOOKUP($A64,'SP export'!$G$15:$XFD$25,'SP export'!$A$23,)</f>
        <v>216970.87</v>
      </c>
      <c r="AS64" s="44"/>
    </row>
    <row r="65" spans="1:45" ht="56" customHeight="1">
      <c r="A65" s="45" t="s">
        <v>982</v>
      </c>
      <c r="B65" s="20">
        <v>37</v>
      </c>
      <c r="C65" s="24" t="s">
        <v>44</v>
      </c>
      <c r="D65" s="25" t="s">
        <v>45</v>
      </c>
      <c r="E65" s="22" t="s">
        <v>380</v>
      </c>
      <c r="F65" s="25" t="s">
        <v>19</v>
      </c>
      <c r="G65" s="21" t="s">
        <v>391</v>
      </c>
      <c r="H65" s="24" t="s">
        <v>1021</v>
      </c>
      <c r="I65" s="24" t="s">
        <v>1021</v>
      </c>
      <c r="J65" s="48" t="s">
        <v>878</v>
      </c>
      <c r="K65" s="24"/>
      <c r="L65" s="21" t="s">
        <v>422</v>
      </c>
      <c r="M65" s="21" t="s">
        <v>423</v>
      </c>
      <c r="N65" s="21">
        <v>231</v>
      </c>
      <c r="O65" s="21" t="s">
        <v>504</v>
      </c>
      <c r="P65" s="21">
        <v>231</v>
      </c>
      <c r="Q65" s="21" t="s">
        <v>505</v>
      </c>
      <c r="R65" s="21" t="s">
        <v>425</v>
      </c>
      <c r="S65" s="21" t="s">
        <v>459</v>
      </c>
      <c r="T65" s="21" t="s">
        <v>460</v>
      </c>
      <c r="U65" s="21">
        <v>33</v>
      </c>
      <c r="V65" s="21" t="s">
        <v>461</v>
      </c>
      <c r="W65" s="21">
        <v>33</v>
      </c>
      <c r="X65" s="21" t="s">
        <v>462</v>
      </c>
      <c r="Y65" s="37" t="s">
        <v>1099</v>
      </c>
      <c r="Z65" s="49"/>
      <c r="AA65" s="21" t="s">
        <v>217</v>
      </c>
      <c r="AB65" s="70">
        <f>AVERAGE(16600,1985520)</f>
        <v>1001060</v>
      </c>
      <c r="AC65" s="25" t="s">
        <v>50</v>
      </c>
      <c r="AD65" s="22" t="s">
        <v>377</v>
      </c>
      <c r="AE65" s="25" t="s">
        <v>16</v>
      </c>
      <c r="AF65" s="25" t="s">
        <v>1092</v>
      </c>
      <c r="AG65" s="25" t="s">
        <v>20</v>
      </c>
      <c r="AH65" s="24" t="s">
        <v>379</v>
      </c>
      <c r="AI65" s="24" t="s">
        <v>568</v>
      </c>
      <c r="AJ65" s="60" t="s">
        <v>875</v>
      </c>
      <c r="AK65" s="26" t="s">
        <v>1100</v>
      </c>
      <c r="AL65" s="26"/>
      <c r="AM65" s="44">
        <f>HLOOKUP($A65,'SP export'!$G$15:$XFD$25,'SP export'!$A$19,)</f>
        <v>-104955.23</v>
      </c>
      <c r="AN65" s="44">
        <f>HLOOKUP($A65,'SP export'!$G$15:$XFD$25,'SP export'!$A$20,)</f>
        <v>-1.7474578999999999</v>
      </c>
      <c r="AO65" s="44">
        <f>HLOOKUP($A65,'SP export'!$G$15:$XFD$25,'SP export'!$A$21,)</f>
        <v>-405782.07</v>
      </c>
      <c r="AP65" s="44">
        <f>HLOOKUP($A65,'SP export'!$G$15:$XFD$25,'SP export'!$A$22,)</f>
        <v>-977787.9</v>
      </c>
      <c r="AQ65" s="44">
        <f>HLOOKUP($A65,'SP export'!$G$15:$XFD$25,'SP export'!$A$23,)</f>
        <v>-3831.2519000000002</v>
      </c>
      <c r="AS65" s="44"/>
    </row>
    <row r="66" spans="1:45" ht="56" customHeight="1">
      <c r="A66" s="45" t="s">
        <v>983</v>
      </c>
      <c r="B66" s="20">
        <v>38</v>
      </c>
      <c r="C66" s="24" t="s">
        <v>84</v>
      </c>
      <c r="D66" s="25" t="s">
        <v>84</v>
      </c>
      <c r="E66" s="22" t="s">
        <v>21</v>
      </c>
      <c r="F66" s="25" t="s">
        <v>19</v>
      </c>
      <c r="G66" s="21" t="s">
        <v>391</v>
      </c>
      <c r="H66" s="24" t="s">
        <v>1021</v>
      </c>
      <c r="I66" s="24" t="s">
        <v>1021</v>
      </c>
      <c r="J66" s="48" t="s">
        <v>878</v>
      </c>
      <c r="K66" s="24"/>
      <c r="L66" s="21" t="s">
        <v>392</v>
      </c>
      <c r="M66" s="21" t="s">
        <v>392</v>
      </c>
      <c r="N66" s="21">
        <v>38</v>
      </c>
      <c r="O66" s="21" t="s">
        <v>507</v>
      </c>
      <c r="P66" s="21"/>
      <c r="Q66" s="21" t="s">
        <v>508</v>
      </c>
      <c r="R66" s="21" t="s">
        <v>404</v>
      </c>
      <c r="S66" s="21" t="s">
        <v>513</v>
      </c>
      <c r="T66" s="21" t="s">
        <v>569</v>
      </c>
      <c r="U66" s="21">
        <v>13</v>
      </c>
      <c r="V66" s="21" t="s">
        <v>515</v>
      </c>
      <c r="W66" s="21">
        <v>10</v>
      </c>
      <c r="X66" s="21" t="s">
        <v>570</v>
      </c>
      <c r="Y66" s="37" t="s">
        <v>1101</v>
      </c>
      <c r="Z66" s="21"/>
      <c r="AA66" s="21" t="s">
        <v>571</v>
      </c>
      <c r="AB66" s="70">
        <f>AVERAGE(266802,704760)</f>
        <v>485781</v>
      </c>
      <c r="AC66" s="25" t="s">
        <v>50</v>
      </c>
      <c r="AD66" s="22" t="s">
        <v>378</v>
      </c>
      <c r="AE66" s="25" t="s">
        <v>16</v>
      </c>
      <c r="AF66" s="25" t="s">
        <v>161</v>
      </c>
      <c r="AG66" s="25" t="s">
        <v>20</v>
      </c>
      <c r="AH66" s="24" t="s">
        <v>379</v>
      </c>
      <c r="AI66" s="24" t="s">
        <v>1102</v>
      </c>
      <c r="AJ66" s="60" t="s">
        <v>875</v>
      </c>
      <c r="AK66" s="23"/>
      <c r="AL66" s="23"/>
      <c r="AM66" s="44">
        <f>HLOOKUP($A66,'SP export'!$G$15:$XFD$25,'SP export'!$A$19,)</f>
        <v>-55547.326999999997</v>
      </c>
      <c r="AN66" s="44">
        <f>HLOOKUP($A66,'SP export'!$G$15:$XFD$25,'SP export'!$A$20,)</f>
        <v>-1.071334E-2</v>
      </c>
      <c r="AO66" s="44">
        <f>HLOOKUP($A66,'SP export'!$G$15:$XFD$25,'SP export'!$A$21,)</f>
        <v>-778.58537000000001</v>
      </c>
      <c r="AP66" s="44">
        <f>HLOOKUP($A66,'SP export'!$G$15:$XFD$25,'SP export'!$A$22,)</f>
        <v>-734455.65</v>
      </c>
      <c r="AQ66" s="44">
        <f>HLOOKUP($A66,'SP export'!$G$15:$XFD$25,'SP export'!$A$23,)</f>
        <v>-900.82056999999998</v>
      </c>
      <c r="AS66" s="44"/>
    </row>
    <row r="67" spans="1:45" ht="56" customHeight="1">
      <c r="A67" s="45" t="s">
        <v>984</v>
      </c>
      <c r="B67" s="20">
        <v>39</v>
      </c>
      <c r="C67" s="24" t="s">
        <v>65</v>
      </c>
      <c r="D67" s="25" t="s">
        <v>65</v>
      </c>
      <c r="E67" s="22" t="s">
        <v>36</v>
      </c>
      <c r="F67" s="25" t="s">
        <v>19</v>
      </c>
      <c r="G67" s="21" t="s">
        <v>425</v>
      </c>
      <c r="H67" s="24" t="s">
        <v>1021</v>
      </c>
      <c r="I67" s="24" t="s">
        <v>1021</v>
      </c>
      <c r="J67" s="48" t="s">
        <v>878</v>
      </c>
      <c r="K67" s="24"/>
      <c r="L67" s="21" t="s">
        <v>459</v>
      </c>
      <c r="M67" s="21" t="s">
        <v>460</v>
      </c>
      <c r="N67" s="21">
        <v>33</v>
      </c>
      <c r="O67" s="21" t="s">
        <v>461</v>
      </c>
      <c r="P67" s="21">
        <v>33</v>
      </c>
      <c r="Q67" s="21" t="s">
        <v>462</v>
      </c>
      <c r="R67" s="21" t="s">
        <v>439</v>
      </c>
      <c r="S67" s="21" t="s">
        <v>572</v>
      </c>
      <c r="T67" s="21" t="s">
        <v>573</v>
      </c>
      <c r="U67" s="21">
        <v>17</v>
      </c>
      <c r="V67" s="21" t="s">
        <v>574</v>
      </c>
      <c r="W67" s="21">
        <v>11</v>
      </c>
      <c r="X67" s="21" t="s">
        <v>575</v>
      </c>
      <c r="Y67" s="37" t="s">
        <v>163</v>
      </c>
      <c r="Z67" s="21"/>
      <c r="AA67" s="21" t="s">
        <v>576</v>
      </c>
      <c r="AB67" s="74">
        <v>100000</v>
      </c>
      <c r="AC67" s="25" t="s">
        <v>50</v>
      </c>
      <c r="AD67" s="22" t="s">
        <v>378</v>
      </c>
      <c r="AE67" s="25" t="s">
        <v>16</v>
      </c>
      <c r="AF67" s="25" t="s">
        <v>164</v>
      </c>
      <c r="AG67" s="25" t="s">
        <v>20</v>
      </c>
      <c r="AH67" s="24" t="s">
        <v>379</v>
      </c>
      <c r="AI67" s="24" t="s">
        <v>458</v>
      </c>
      <c r="AJ67" s="60" t="s">
        <v>875</v>
      </c>
      <c r="AK67" s="23"/>
      <c r="AL67" s="23"/>
      <c r="AM67" s="44">
        <f>HLOOKUP($A67,'SP export'!$G$15:$XFD$25,'SP export'!$A$19,)</f>
        <v>-2027589200</v>
      </c>
      <c r="AN67" s="44">
        <f>HLOOKUP($A67,'SP export'!$G$15:$XFD$25,'SP export'!$A$20,)</f>
        <v>-434.21735999999999</v>
      </c>
      <c r="AO67" s="44">
        <f>HLOOKUP($A67,'SP export'!$G$15:$XFD$25,'SP export'!$A$21,)</f>
        <v>-76283168</v>
      </c>
      <c r="AP67" s="44">
        <f>HLOOKUP($A67,'SP export'!$G$15:$XFD$25,'SP export'!$A$22,)</f>
        <v>-3530963400</v>
      </c>
      <c r="AQ67" s="44">
        <f>HLOOKUP($A67,'SP export'!$G$15:$XFD$25,'SP export'!$A$23,)</f>
        <v>-22081641</v>
      </c>
      <c r="AS67" s="44"/>
    </row>
    <row r="68" spans="1:45" ht="56" customHeight="1">
      <c r="A68" s="45" t="s">
        <v>985</v>
      </c>
      <c r="B68" s="20">
        <v>41</v>
      </c>
      <c r="C68" s="24" t="s">
        <v>166</v>
      </c>
      <c r="D68" s="25" t="s">
        <v>166</v>
      </c>
      <c r="E68" s="22" t="s">
        <v>43</v>
      </c>
      <c r="F68" s="25" t="s">
        <v>19</v>
      </c>
      <c r="G68" s="21" t="s">
        <v>556</v>
      </c>
      <c r="H68" s="24" t="s">
        <v>874</v>
      </c>
      <c r="I68" s="24" t="s">
        <v>874</v>
      </c>
      <c r="J68" s="48" t="s">
        <v>878</v>
      </c>
      <c r="K68" s="24"/>
      <c r="L68" s="21" t="s">
        <v>557</v>
      </c>
      <c r="M68" s="21" t="s">
        <v>558</v>
      </c>
      <c r="N68" s="21">
        <v>93</v>
      </c>
      <c r="O68" s="21" t="s">
        <v>559</v>
      </c>
      <c r="P68" s="21"/>
      <c r="Q68" s="21" t="s">
        <v>559</v>
      </c>
      <c r="R68" s="21" t="s">
        <v>425</v>
      </c>
      <c r="S68" s="21" t="s">
        <v>453</v>
      </c>
      <c r="T68" s="21" t="s">
        <v>577</v>
      </c>
      <c r="U68" s="21">
        <v>104</v>
      </c>
      <c r="V68" s="21" t="s">
        <v>455</v>
      </c>
      <c r="W68" s="21">
        <v>103.99999999999999</v>
      </c>
      <c r="X68" s="21" t="s">
        <v>456</v>
      </c>
      <c r="Y68" s="21" t="s">
        <v>170</v>
      </c>
      <c r="Z68" s="21"/>
      <c r="AA68" s="37" t="s">
        <v>1103</v>
      </c>
      <c r="AB68" s="70">
        <v>60000</v>
      </c>
      <c r="AC68" s="25" t="s">
        <v>17</v>
      </c>
      <c r="AD68" s="22" t="s">
        <v>766</v>
      </c>
      <c r="AE68" s="26" t="s">
        <v>16</v>
      </c>
      <c r="AF68" s="25" t="s">
        <v>171</v>
      </c>
      <c r="AG68" s="25" t="s">
        <v>20</v>
      </c>
      <c r="AH68" s="24" t="s">
        <v>379</v>
      </c>
      <c r="AI68" s="22" t="s">
        <v>1244</v>
      </c>
      <c r="AJ68" s="60" t="s">
        <v>875</v>
      </c>
      <c r="AL68" s="22"/>
      <c r="AM68" s="44">
        <f>HLOOKUP($A68,'SP export'!$G$15:$XFD$25,'SP export'!$A$19,)</f>
        <v>-43295843</v>
      </c>
      <c r="AN68" s="44">
        <f>HLOOKUP($A68,'SP export'!$G$15:$XFD$25,'SP export'!$A$20,)</f>
        <v>-34.346575999999999</v>
      </c>
      <c r="AO68" s="44">
        <f>HLOOKUP($A68,'SP export'!$G$15:$XFD$25,'SP export'!$A$21,)</f>
        <v>-9028622.8000000007</v>
      </c>
      <c r="AP68" s="44">
        <f>HLOOKUP($A68,'SP export'!$G$15:$XFD$25,'SP export'!$A$22,)</f>
        <v>-400383890</v>
      </c>
      <c r="AQ68" s="44">
        <f>HLOOKUP($A68,'SP export'!$G$15:$XFD$25,'SP export'!$A$23,)</f>
        <v>-622135.68000000005</v>
      </c>
      <c r="AS68" s="44"/>
    </row>
    <row r="69" spans="1:45" ht="56" customHeight="1">
      <c r="A69" s="45" t="s">
        <v>986</v>
      </c>
      <c r="B69" s="20">
        <v>42</v>
      </c>
      <c r="C69" s="24" t="s">
        <v>74</v>
      </c>
      <c r="D69" s="25" t="s">
        <v>74</v>
      </c>
      <c r="E69" s="22" t="s">
        <v>43</v>
      </c>
      <c r="F69" s="25" t="s">
        <v>19</v>
      </c>
      <c r="G69" s="21" t="s">
        <v>394</v>
      </c>
      <c r="H69" s="24" t="s">
        <v>1021</v>
      </c>
      <c r="I69" s="24" t="s">
        <v>1021</v>
      </c>
      <c r="J69" s="48" t="s">
        <v>878</v>
      </c>
      <c r="K69" s="24"/>
      <c r="L69" s="21" t="s">
        <v>579</v>
      </c>
      <c r="M69" s="21" t="s">
        <v>580</v>
      </c>
      <c r="N69" s="21"/>
      <c r="O69" s="21" t="s">
        <v>532</v>
      </c>
      <c r="P69" s="21">
        <v>110</v>
      </c>
      <c r="Q69" s="21" t="s">
        <v>581</v>
      </c>
      <c r="R69" s="21" t="s">
        <v>425</v>
      </c>
      <c r="S69" s="21" t="s">
        <v>453</v>
      </c>
      <c r="T69" s="21" t="s">
        <v>577</v>
      </c>
      <c r="U69" s="21">
        <v>104</v>
      </c>
      <c r="V69" s="21" t="s">
        <v>455</v>
      </c>
      <c r="W69" s="21">
        <v>103.99999999999999</v>
      </c>
      <c r="X69" s="21" t="s">
        <v>456</v>
      </c>
      <c r="Y69" s="21" t="s">
        <v>172</v>
      </c>
      <c r="Z69" s="21"/>
      <c r="AA69" s="21" t="s">
        <v>578</v>
      </c>
      <c r="AB69" s="70"/>
      <c r="AC69" s="25" t="s">
        <v>50</v>
      </c>
      <c r="AD69" s="22" t="s">
        <v>766</v>
      </c>
      <c r="AE69" s="26" t="s">
        <v>16</v>
      </c>
      <c r="AF69" s="25" t="s">
        <v>173</v>
      </c>
      <c r="AG69" s="25" t="s">
        <v>20</v>
      </c>
      <c r="AH69" s="24" t="s">
        <v>379</v>
      </c>
      <c r="AI69" s="24" t="s">
        <v>379</v>
      </c>
      <c r="AJ69" s="60" t="s">
        <v>878</v>
      </c>
      <c r="AK69" s="23" t="s">
        <v>1232</v>
      </c>
      <c r="AL69" s="22" t="s">
        <v>1222</v>
      </c>
      <c r="AM69" s="44">
        <f>HLOOKUP($A69,'SP export'!$G$15:$XFD$25,'SP export'!$A$19,)</f>
        <v>0</v>
      </c>
      <c r="AN69" s="44">
        <f>HLOOKUP($A69,'SP export'!$G$15:$XFD$25,'SP export'!$A$20,)</f>
        <v>0</v>
      </c>
      <c r="AO69" s="44">
        <f>HLOOKUP($A69,'SP export'!$G$15:$XFD$25,'SP export'!$A$21,)</f>
        <v>0</v>
      </c>
      <c r="AP69" s="44">
        <f>HLOOKUP($A69,'SP export'!$G$15:$XFD$25,'SP export'!$A$22,)</f>
        <v>0</v>
      </c>
      <c r="AQ69" s="44">
        <f>HLOOKUP($A69,'SP export'!$G$15:$XFD$25,'SP export'!$A$23,)</f>
        <v>0</v>
      </c>
      <c r="AS69" s="44"/>
    </row>
    <row r="70" spans="1:45" ht="56" customHeight="1">
      <c r="A70" s="45" t="s">
        <v>987</v>
      </c>
      <c r="B70" s="20">
        <v>43</v>
      </c>
      <c r="C70" s="24" t="s">
        <v>74</v>
      </c>
      <c r="D70" s="25" t="s">
        <v>74</v>
      </c>
      <c r="E70" s="22" t="s">
        <v>43</v>
      </c>
      <c r="F70" s="25" t="s">
        <v>19</v>
      </c>
      <c r="G70" s="21" t="s">
        <v>391</v>
      </c>
      <c r="H70" s="24" t="s">
        <v>1021</v>
      </c>
      <c r="I70" s="24" t="s">
        <v>1021</v>
      </c>
      <c r="J70" s="48" t="s">
        <v>878</v>
      </c>
      <c r="K70" s="24"/>
      <c r="L70" s="21" t="s">
        <v>416</v>
      </c>
      <c r="M70" s="21" t="s">
        <v>417</v>
      </c>
      <c r="N70" s="21">
        <v>34</v>
      </c>
      <c r="O70" s="21" t="s">
        <v>548</v>
      </c>
      <c r="P70" s="21">
        <v>63.000000000000007</v>
      </c>
      <c r="Q70" s="21" t="s">
        <v>549</v>
      </c>
      <c r="R70" s="21" t="s">
        <v>425</v>
      </c>
      <c r="S70" s="21" t="s">
        <v>453</v>
      </c>
      <c r="T70" s="21" t="s">
        <v>577</v>
      </c>
      <c r="U70" s="21">
        <v>104</v>
      </c>
      <c r="V70" s="21" t="s">
        <v>455</v>
      </c>
      <c r="W70" s="21">
        <v>103.99999999999999</v>
      </c>
      <c r="X70" s="21" t="s">
        <v>456</v>
      </c>
      <c r="Y70" s="21" t="s">
        <v>174</v>
      </c>
      <c r="Z70" s="21"/>
      <c r="AA70" s="21" t="s">
        <v>578</v>
      </c>
      <c r="AB70" s="70"/>
      <c r="AC70" s="25" t="s">
        <v>17</v>
      </c>
      <c r="AD70" s="22" t="s">
        <v>766</v>
      </c>
      <c r="AE70" s="26" t="s">
        <v>16</v>
      </c>
      <c r="AF70" s="25" t="s">
        <v>175</v>
      </c>
      <c r="AG70" s="25" t="s">
        <v>20</v>
      </c>
      <c r="AH70" s="24" t="s">
        <v>379</v>
      </c>
      <c r="AI70" s="24" t="s">
        <v>379</v>
      </c>
      <c r="AJ70" s="60" t="s">
        <v>878</v>
      </c>
      <c r="AK70" s="23" t="s">
        <v>1098</v>
      </c>
      <c r="AL70" s="22" t="s">
        <v>1222</v>
      </c>
      <c r="AM70" s="44">
        <f>HLOOKUP($A70,'SP export'!$G$15:$XFD$25,'SP export'!$A$19,)</f>
        <v>0</v>
      </c>
      <c r="AN70" s="44">
        <f>HLOOKUP($A70,'SP export'!$G$15:$XFD$25,'SP export'!$A$20,)</f>
        <v>0</v>
      </c>
      <c r="AO70" s="44">
        <f>HLOOKUP($A70,'SP export'!$G$15:$XFD$25,'SP export'!$A$21,)</f>
        <v>0</v>
      </c>
      <c r="AP70" s="44">
        <f>HLOOKUP($A70,'SP export'!$G$15:$XFD$25,'SP export'!$A$22,)</f>
        <v>0</v>
      </c>
      <c r="AQ70" s="44">
        <f>HLOOKUP($A70,'SP export'!$G$15:$XFD$25,'SP export'!$A$23,)</f>
        <v>0</v>
      </c>
      <c r="AS70" s="44"/>
    </row>
    <row r="71" spans="1:45" ht="56" customHeight="1">
      <c r="A71" s="45" t="s">
        <v>988</v>
      </c>
      <c r="B71" s="20">
        <v>45</v>
      </c>
      <c r="C71" s="24" t="s">
        <v>74</v>
      </c>
      <c r="D71" s="25" t="s">
        <v>74</v>
      </c>
      <c r="E71" s="22" t="s">
        <v>43</v>
      </c>
      <c r="F71" s="25" t="s">
        <v>19</v>
      </c>
      <c r="G71" s="21" t="s">
        <v>439</v>
      </c>
      <c r="H71" s="24" t="s">
        <v>1021</v>
      </c>
      <c r="I71" s="24" t="s">
        <v>1021</v>
      </c>
      <c r="J71" s="48" t="s">
        <v>878</v>
      </c>
      <c r="K71" s="24"/>
      <c r="L71" s="21" t="s">
        <v>478</v>
      </c>
      <c r="M71" s="21" t="s">
        <v>479</v>
      </c>
      <c r="N71" s="21">
        <v>15</v>
      </c>
      <c r="O71" s="21" t="s">
        <v>480</v>
      </c>
      <c r="P71" s="21"/>
      <c r="Q71" s="21" t="s">
        <v>481</v>
      </c>
      <c r="R71" s="21" t="s">
        <v>425</v>
      </c>
      <c r="S71" s="21" t="s">
        <v>459</v>
      </c>
      <c r="T71" s="21" t="s">
        <v>460</v>
      </c>
      <c r="U71" s="21">
        <v>33</v>
      </c>
      <c r="V71" s="21" t="s">
        <v>461</v>
      </c>
      <c r="W71" s="21">
        <v>33</v>
      </c>
      <c r="X71" s="21" t="s">
        <v>462</v>
      </c>
      <c r="Y71" s="21" t="s">
        <v>180</v>
      </c>
      <c r="Z71" s="21"/>
      <c r="AA71" s="21" t="s">
        <v>217</v>
      </c>
      <c r="AB71" s="70"/>
      <c r="AC71" s="25" t="s">
        <v>50</v>
      </c>
      <c r="AD71" s="22" t="s">
        <v>766</v>
      </c>
      <c r="AE71" s="26" t="s">
        <v>16</v>
      </c>
      <c r="AF71" s="25" t="s">
        <v>181</v>
      </c>
      <c r="AG71" s="25" t="s">
        <v>20</v>
      </c>
      <c r="AH71" s="24" t="s">
        <v>379</v>
      </c>
      <c r="AI71" s="24" t="s">
        <v>379</v>
      </c>
      <c r="AJ71" s="60" t="s">
        <v>878</v>
      </c>
      <c r="AK71" s="23" t="s">
        <v>1098</v>
      </c>
      <c r="AL71" s="22" t="s">
        <v>1222</v>
      </c>
      <c r="AM71" s="44">
        <f>HLOOKUP($A71,'SP export'!$G$15:$XFD$25,'SP export'!$A$19,)</f>
        <v>0</v>
      </c>
      <c r="AN71" s="44">
        <f>HLOOKUP($A71,'SP export'!$G$15:$XFD$25,'SP export'!$A$20,)</f>
        <v>0</v>
      </c>
      <c r="AO71" s="44">
        <f>HLOOKUP($A71,'SP export'!$G$15:$XFD$25,'SP export'!$A$21,)</f>
        <v>0</v>
      </c>
      <c r="AP71" s="44">
        <f>HLOOKUP($A71,'SP export'!$G$15:$XFD$25,'SP export'!$A$22,)</f>
        <v>0</v>
      </c>
      <c r="AQ71" s="44">
        <f>HLOOKUP($A71,'SP export'!$G$15:$XFD$25,'SP export'!$A$23,)</f>
        <v>0</v>
      </c>
      <c r="AS71" s="44"/>
    </row>
    <row r="72" spans="1:45" ht="56" customHeight="1">
      <c r="A72" s="45" t="s">
        <v>989</v>
      </c>
      <c r="B72" s="20">
        <v>46</v>
      </c>
      <c r="C72" s="24" t="s">
        <v>74</v>
      </c>
      <c r="D72" s="25" t="s">
        <v>74</v>
      </c>
      <c r="E72" s="22" t="s">
        <v>43</v>
      </c>
      <c r="F72" s="25" t="s">
        <v>19</v>
      </c>
      <c r="G72" s="21" t="s">
        <v>391</v>
      </c>
      <c r="H72" s="24" t="s">
        <v>1021</v>
      </c>
      <c r="I72" s="24" t="s">
        <v>1021</v>
      </c>
      <c r="J72" s="48" t="s">
        <v>878</v>
      </c>
      <c r="K72" s="24"/>
      <c r="L72" s="21" t="s">
        <v>416</v>
      </c>
      <c r="M72" s="21" t="s">
        <v>417</v>
      </c>
      <c r="N72" s="21">
        <v>34</v>
      </c>
      <c r="O72" s="21" t="s">
        <v>548</v>
      </c>
      <c r="P72" s="21">
        <v>63.000000000000007</v>
      </c>
      <c r="Q72" s="21" t="s">
        <v>549</v>
      </c>
      <c r="R72" s="21" t="s">
        <v>425</v>
      </c>
      <c r="S72" s="21" t="s">
        <v>459</v>
      </c>
      <c r="T72" s="21" t="s">
        <v>460</v>
      </c>
      <c r="U72" s="21">
        <v>33</v>
      </c>
      <c r="V72" s="21" t="s">
        <v>461</v>
      </c>
      <c r="W72" s="21">
        <v>33</v>
      </c>
      <c r="X72" s="21" t="s">
        <v>462</v>
      </c>
      <c r="Y72" s="21" t="s">
        <v>143</v>
      </c>
      <c r="Z72" s="21"/>
      <c r="AA72" s="21" t="s">
        <v>217</v>
      </c>
      <c r="AB72" s="70"/>
      <c r="AC72" s="25" t="s">
        <v>17</v>
      </c>
      <c r="AD72" s="22" t="s">
        <v>766</v>
      </c>
      <c r="AE72" s="26" t="s">
        <v>16</v>
      </c>
      <c r="AF72" s="25" t="s">
        <v>175</v>
      </c>
      <c r="AG72" s="25" t="s">
        <v>20</v>
      </c>
      <c r="AH72" s="24" t="s">
        <v>379</v>
      </c>
      <c r="AI72" s="24" t="s">
        <v>379</v>
      </c>
      <c r="AJ72" s="60" t="s">
        <v>878</v>
      </c>
      <c r="AK72" s="23" t="s">
        <v>1098</v>
      </c>
      <c r="AL72" s="22" t="s">
        <v>1222</v>
      </c>
      <c r="AM72" s="44">
        <f>HLOOKUP($A72,'SP export'!$G$15:$XFD$25,'SP export'!$A$19,)</f>
        <v>0</v>
      </c>
      <c r="AN72" s="44">
        <f>HLOOKUP($A72,'SP export'!$G$15:$XFD$25,'SP export'!$A$20,)</f>
        <v>0</v>
      </c>
      <c r="AO72" s="44">
        <f>HLOOKUP($A72,'SP export'!$G$15:$XFD$25,'SP export'!$A$21,)</f>
        <v>0</v>
      </c>
      <c r="AP72" s="44">
        <f>HLOOKUP($A72,'SP export'!$G$15:$XFD$25,'SP export'!$A$22,)</f>
        <v>0</v>
      </c>
      <c r="AQ72" s="44">
        <f>HLOOKUP($A72,'SP export'!$G$15:$XFD$25,'SP export'!$A$23,)</f>
        <v>0</v>
      </c>
      <c r="AS72" s="44"/>
    </row>
    <row r="73" spans="1:45" ht="56" customHeight="1">
      <c r="A73" s="45" t="s">
        <v>990</v>
      </c>
      <c r="B73" s="20">
        <v>51</v>
      </c>
      <c r="C73" s="24" t="s">
        <v>643</v>
      </c>
      <c r="D73" s="25" t="s">
        <v>66</v>
      </c>
      <c r="E73" s="22" t="s">
        <v>43</v>
      </c>
      <c r="F73" s="25" t="s">
        <v>19</v>
      </c>
      <c r="G73" s="21" t="s">
        <v>556</v>
      </c>
      <c r="H73" s="24" t="s">
        <v>1021</v>
      </c>
      <c r="I73" s="24" t="s">
        <v>1021</v>
      </c>
      <c r="J73" s="48" t="s">
        <v>878</v>
      </c>
      <c r="K73" s="24"/>
      <c r="L73" s="21" t="s">
        <v>565</v>
      </c>
      <c r="M73" s="21" t="s">
        <v>566</v>
      </c>
      <c r="N73" s="21">
        <v>467</v>
      </c>
      <c r="O73" s="21" t="s">
        <v>567</v>
      </c>
      <c r="P73" s="21"/>
      <c r="Q73" s="21" t="s">
        <v>595</v>
      </c>
      <c r="R73" s="21" t="s">
        <v>391</v>
      </c>
      <c r="S73" s="21" t="s">
        <v>416</v>
      </c>
      <c r="T73" s="21" t="s">
        <v>417</v>
      </c>
      <c r="U73" s="21">
        <v>34</v>
      </c>
      <c r="V73" s="21" t="s">
        <v>548</v>
      </c>
      <c r="W73" s="21">
        <v>63</v>
      </c>
      <c r="X73" s="21" t="s">
        <v>549</v>
      </c>
      <c r="Y73" s="21" t="s">
        <v>192</v>
      </c>
      <c r="Z73" s="21"/>
      <c r="AA73" s="21" t="s">
        <v>596</v>
      </c>
      <c r="AB73" s="70"/>
      <c r="AC73" s="25" t="s">
        <v>50</v>
      </c>
      <c r="AD73" s="22" t="s">
        <v>766</v>
      </c>
      <c r="AE73" s="26" t="s">
        <v>16</v>
      </c>
      <c r="AF73" s="25" t="s">
        <v>820</v>
      </c>
      <c r="AG73" s="25" t="s">
        <v>20</v>
      </c>
      <c r="AH73" s="24" t="s">
        <v>379</v>
      </c>
      <c r="AI73" s="24" t="s">
        <v>597</v>
      </c>
      <c r="AJ73" s="60" t="s">
        <v>878</v>
      </c>
      <c r="AK73" s="23" t="s">
        <v>1098</v>
      </c>
      <c r="AL73" s="22" t="s">
        <v>1223</v>
      </c>
      <c r="AM73" s="44">
        <f>HLOOKUP($A73,'SP export'!$G$15:$XFD$25,'SP export'!$A$19,)</f>
        <v>0</v>
      </c>
      <c r="AN73" s="44">
        <f>HLOOKUP($A73,'SP export'!$G$15:$XFD$25,'SP export'!$A$20,)</f>
        <v>0</v>
      </c>
      <c r="AO73" s="44">
        <f>HLOOKUP($A73,'SP export'!$G$15:$XFD$25,'SP export'!$A$21,)</f>
        <v>0</v>
      </c>
      <c r="AP73" s="44">
        <f>HLOOKUP($A73,'SP export'!$G$15:$XFD$25,'SP export'!$A$22,)</f>
        <v>0</v>
      </c>
      <c r="AQ73" s="44">
        <f>HLOOKUP($A73,'SP export'!$G$15:$XFD$25,'SP export'!$A$23,)</f>
        <v>0</v>
      </c>
      <c r="AS73" s="44"/>
    </row>
    <row r="74" spans="1:45" ht="56" customHeight="1">
      <c r="A74" s="45" t="s">
        <v>991</v>
      </c>
      <c r="B74" s="20">
        <v>52</v>
      </c>
      <c r="C74" s="24" t="s">
        <v>193</v>
      </c>
      <c r="D74" s="25" t="s">
        <v>194</v>
      </c>
      <c r="E74" s="22" t="s">
        <v>36</v>
      </c>
      <c r="F74" s="25" t="s">
        <v>19</v>
      </c>
      <c r="G74" s="21" t="s">
        <v>425</v>
      </c>
      <c r="H74" s="24" t="s">
        <v>1021</v>
      </c>
      <c r="I74" s="24" t="s">
        <v>1021</v>
      </c>
      <c r="J74" s="48" t="s">
        <v>878</v>
      </c>
      <c r="K74" s="24"/>
      <c r="L74" s="21" t="s">
        <v>453</v>
      </c>
      <c r="M74" s="21" t="s">
        <v>454</v>
      </c>
      <c r="N74" s="21">
        <v>104</v>
      </c>
      <c r="O74" s="21" t="s">
        <v>455</v>
      </c>
      <c r="P74" s="21">
        <v>104</v>
      </c>
      <c r="Q74" s="21" t="s">
        <v>456</v>
      </c>
      <c r="R74" s="21" t="s">
        <v>598</v>
      </c>
      <c r="S74" s="21" t="s">
        <v>599</v>
      </c>
      <c r="T74" s="21" t="s">
        <v>599</v>
      </c>
      <c r="U74" s="21">
        <v>618</v>
      </c>
      <c r="V74" s="21" t="s">
        <v>600</v>
      </c>
      <c r="W74" s="21">
        <v>618</v>
      </c>
      <c r="X74" s="21" t="s">
        <v>600</v>
      </c>
      <c r="Y74" s="21" t="s">
        <v>217</v>
      </c>
      <c r="Z74" s="21"/>
      <c r="AA74" s="37" t="s">
        <v>601</v>
      </c>
      <c r="AB74" s="70">
        <v>9603</v>
      </c>
      <c r="AC74" s="25" t="s">
        <v>17</v>
      </c>
      <c r="AD74" s="22" t="s">
        <v>766</v>
      </c>
      <c r="AE74" s="26" t="s">
        <v>16</v>
      </c>
      <c r="AF74" s="25" t="s">
        <v>198</v>
      </c>
      <c r="AG74" s="25" t="s">
        <v>20</v>
      </c>
      <c r="AH74" s="24" t="s">
        <v>379</v>
      </c>
      <c r="AI74" s="24" t="s">
        <v>602</v>
      </c>
      <c r="AJ74" s="60" t="s">
        <v>875</v>
      </c>
      <c r="AK74" s="23"/>
      <c r="AL74" s="23"/>
      <c r="AM74" s="44">
        <f>HLOOKUP($A74,'SP export'!$G$15:$XFD$25,'SP export'!$A$19,)</f>
        <v>-26732411</v>
      </c>
      <c r="AN74" s="44">
        <f>HLOOKUP($A74,'SP export'!$G$15:$XFD$25,'SP export'!$A$20,)</f>
        <v>-12.660269</v>
      </c>
      <c r="AO74" s="44">
        <f>HLOOKUP($A74,'SP export'!$G$15:$XFD$25,'SP export'!$A$21,)</f>
        <v>-4009303.1</v>
      </c>
      <c r="AP74" s="44">
        <f>HLOOKUP($A74,'SP export'!$G$15:$XFD$25,'SP export'!$A$22,)</f>
        <v>-168421970</v>
      </c>
      <c r="AQ74" s="44">
        <f>HLOOKUP($A74,'SP export'!$G$15:$XFD$25,'SP export'!$A$23,)</f>
        <v>-1311848</v>
      </c>
      <c r="AS74" s="44"/>
    </row>
    <row r="75" spans="1:45" ht="56" customHeight="1">
      <c r="A75" s="45" t="s">
        <v>992</v>
      </c>
      <c r="B75" s="20">
        <v>53</v>
      </c>
      <c r="C75" s="24" t="s">
        <v>355</v>
      </c>
      <c r="D75" s="25" t="s">
        <v>195</v>
      </c>
      <c r="E75" s="22" t="s">
        <v>381</v>
      </c>
      <c r="F75" s="25" t="s">
        <v>19</v>
      </c>
      <c r="G75" s="21" t="s">
        <v>603</v>
      </c>
      <c r="H75" s="24" t="s">
        <v>880</v>
      </c>
      <c r="I75" s="24" t="s">
        <v>880</v>
      </c>
      <c r="J75" s="48" t="s">
        <v>878</v>
      </c>
      <c r="K75" s="24"/>
      <c r="L75" s="21" t="s">
        <v>604</v>
      </c>
      <c r="M75" s="21" t="s">
        <v>605</v>
      </c>
      <c r="N75" s="21">
        <v>22</v>
      </c>
      <c r="O75" s="21" t="s">
        <v>606</v>
      </c>
      <c r="P75" s="21"/>
      <c r="Q75" s="21" t="s">
        <v>606</v>
      </c>
      <c r="R75" s="21" t="s">
        <v>425</v>
      </c>
      <c r="S75" s="21" t="s">
        <v>530</v>
      </c>
      <c r="T75" s="21" t="s">
        <v>531</v>
      </c>
      <c r="U75" s="21"/>
      <c r="V75" s="21" t="s">
        <v>532</v>
      </c>
      <c r="W75" s="21">
        <v>7</v>
      </c>
      <c r="X75" s="21" t="s">
        <v>533</v>
      </c>
      <c r="Y75" s="24" t="s">
        <v>217</v>
      </c>
      <c r="Z75" s="24"/>
      <c r="AA75" s="24" t="s">
        <v>217</v>
      </c>
      <c r="AB75" s="70"/>
      <c r="AC75" s="25" t="s">
        <v>50</v>
      </c>
      <c r="AD75" s="22" t="s">
        <v>766</v>
      </c>
      <c r="AE75" s="26" t="s">
        <v>16</v>
      </c>
      <c r="AF75" s="25" t="s">
        <v>199</v>
      </c>
      <c r="AG75" s="25" t="s">
        <v>20</v>
      </c>
      <c r="AH75" s="24" t="s">
        <v>607</v>
      </c>
      <c r="AI75" s="24" t="s">
        <v>608</v>
      </c>
      <c r="AJ75" s="60" t="s">
        <v>878</v>
      </c>
      <c r="AK75" s="23" t="s">
        <v>1098</v>
      </c>
      <c r="AL75" s="68" t="s">
        <v>1220</v>
      </c>
      <c r="AM75" s="44">
        <f>HLOOKUP($A75,'SP export'!$G$15:$XFD$25,'SP export'!$A$19,)</f>
        <v>0</v>
      </c>
      <c r="AN75" s="44">
        <f>HLOOKUP($A75,'SP export'!$G$15:$XFD$25,'SP export'!$A$20,)</f>
        <v>0</v>
      </c>
      <c r="AO75" s="44">
        <f>HLOOKUP($A75,'SP export'!$G$15:$XFD$25,'SP export'!$A$21,)</f>
        <v>0</v>
      </c>
      <c r="AP75" s="44">
        <f>HLOOKUP($A75,'SP export'!$G$15:$XFD$25,'SP export'!$A$22,)</f>
        <v>0</v>
      </c>
      <c r="AQ75" s="44">
        <f>HLOOKUP($A75,'SP export'!$G$15:$XFD$25,'SP export'!$A$23,)</f>
        <v>0</v>
      </c>
      <c r="AS75" s="44"/>
    </row>
    <row r="76" spans="1:45" ht="56" customHeight="1">
      <c r="A76" s="45" t="s">
        <v>993</v>
      </c>
      <c r="B76" s="20">
        <v>54</v>
      </c>
      <c r="C76" s="24" t="s">
        <v>644</v>
      </c>
      <c r="D76" s="25" t="s">
        <v>200</v>
      </c>
      <c r="E76" s="22" t="s">
        <v>36</v>
      </c>
      <c r="F76" s="25" t="s">
        <v>19</v>
      </c>
      <c r="G76" s="21" t="s">
        <v>394</v>
      </c>
      <c r="H76" s="24" t="s">
        <v>880</v>
      </c>
      <c r="I76" s="24" t="s">
        <v>880</v>
      </c>
      <c r="J76" s="48" t="s">
        <v>878</v>
      </c>
      <c r="K76" s="24"/>
      <c r="L76" s="21" t="s">
        <v>579</v>
      </c>
      <c r="M76" s="21" t="s">
        <v>609</v>
      </c>
      <c r="N76" s="21"/>
      <c r="O76" s="21" t="s">
        <v>532</v>
      </c>
      <c r="P76" s="21">
        <v>101</v>
      </c>
      <c r="Q76" s="21" t="s">
        <v>610</v>
      </c>
      <c r="R76" s="21" t="s">
        <v>611</v>
      </c>
      <c r="S76" s="21" t="s">
        <v>612</v>
      </c>
      <c r="T76" s="21" t="s">
        <v>613</v>
      </c>
      <c r="U76" s="21">
        <v>38</v>
      </c>
      <c r="V76" s="21" t="s">
        <v>606</v>
      </c>
      <c r="W76" s="21">
        <v>38</v>
      </c>
      <c r="X76" s="21" t="s">
        <v>606</v>
      </c>
      <c r="Y76" s="24" t="s">
        <v>217</v>
      </c>
      <c r="Z76" s="24"/>
      <c r="AA76" s="24" t="s">
        <v>217</v>
      </c>
      <c r="AB76" s="70"/>
      <c r="AC76" s="25" t="s">
        <v>50</v>
      </c>
      <c r="AD76" s="22" t="s">
        <v>766</v>
      </c>
      <c r="AE76" s="26" t="s">
        <v>16</v>
      </c>
      <c r="AF76" s="25" t="s">
        <v>204</v>
      </c>
      <c r="AG76" s="25" t="s">
        <v>20</v>
      </c>
      <c r="AH76" s="24" t="s">
        <v>379</v>
      </c>
      <c r="AI76" s="24" t="s">
        <v>614</v>
      </c>
      <c r="AJ76" s="60" t="s">
        <v>878</v>
      </c>
      <c r="AK76" s="23" t="s">
        <v>1098</v>
      </c>
      <c r="AL76" s="68" t="s">
        <v>1224</v>
      </c>
      <c r="AM76" s="44">
        <f>HLOOKUP($A76,'SP export'!$G$15:$XFD$25,'SP export'!$A$19,)</f>
        <v>0</v>
      </c>
      <c r="AN76" s="44">
        <f>HLOOKUP($A76,'SP export'!$G$15:$XFD$25,'SP export'!$A$20,)</f>
        <v>0</v>
      </c>
      <c r="AO76" s="44">
        <f>HLOOKUP($A76,'SP export'!$G$15:$XFD$25,'SP export'!$A$21,)</f>
        <v>0</v>
      </c>
      <c r="AP76" s="44">
        <f>HLOOKUP($A76,'SP export'!$G$15:$XFD$25,'SP export'!$A$22,)</f>
        <v>0</v>
      </c>
      <c r="AQ76" s="44">
        <f>HLOOKUP($A76,'SP export'!$G$15:$XFD$25,'SP export'!$A$23,)</f>
        <v>0</v>
      </c>
      <c r="AS76" s="44"/>
    </row>
    <row r="77" spans="1:45" ht="56" customHeight="1">
      <c r="A77" s="45" t="s">
        <v>994</v>
      </c>
      <c r="B77" s="20">
        <v>55</v>
      </c>
      <c r="C77" s="24" t="s">
        <v>645</v>
      </c>
      <c r="D77" s="25" t="s">
        <v>200</v>
      </c>
      <c r="E77" s="22" t="s">
        <v>36</v>
      </c>
      <c r="F77" s="25" t="s">
        <v>19</v>
      </c>
      <c r="G77" s="21" t="s">
        <v>394</v>
      </c>
      <c r="H77" s="24" t="s">
        <v>880</v>
      </c>
      <c r="I77" s="24" t="s">
        <v>880</v>
      </c>
      <c r="J77" s="48" t="s">
        <v>878</v>
      </c>
      <c r="K77" s="24"/>
      <c r="L77" s="21" t="s">
        <v>615</v>
      </c>
      <c r="M77" s="21" t="s">
        <v>616</v>
      </c>
      <c r="N77" s="21"/>
      <c r="O77" s="21" t="s">
        <v>532</v>
      </c>
      <c r="P77" s="21"/>
      <c r="Q77" s="21" t="s">
        <v>532</v>
      </c>
      <c r="R77" s="21" t="s">
        <v>611</v>
      </c>
      <c r="S77" s="21" t="s">
        <v>617</v>
      </c>
      <c r="T77" s="21" t="s">
        <v>618</v>
      </c>
      <c r="U77" s="21">
        <v>25</v>
      </c>
      <c r="V77" s="21" t="s">
        <v>619</v>
      </c>
      <c r="W77" s="21">
        <v>25</v>
      </c>
      <c r="X77" s="21" t="s">
        <v>619</v>
      </c>
      <c r="Y77" s="21" t="s">
        <v>217</v>
      </c>
      <c r="Z77" s="21"/>
      <c r="AA77" s="24" t="s">
        <v>1238</v>
      </c>
      <c r="AB77" s="70"/>
      <c r="AC77" s="25" t="s">
        <v>50</v>
      </c>
      <c r="AD77" s="22" t="s">
        <v>766</v>
      </c>
      <c r="AE77" s="26" t="s">
        <v>16</v>
      </c>
      <c r="AF77" s="25" t="s">
        <v>204</v>
      </c>
      <c r="AG77" s="25" t="s">
        <v>20</v>
      </c>
      <c r="AH77" s="24" t="s">
        <v>379</v>
      </c>
      <c r="AI77" s="24" t="s">
        <v>620</v>
      </c>
      <c r="AJ77" s="60" t="s">
        <v>878</v>
      </c>
      <c r="AK77" s="23" t="s">
        <v>1109</v>
      </c>
      <c r="AL77" s="68" t="s">
        <v>1224</v>
      </c>
      <c r="AM77" s="44">
        <f>HLOOKUP($A77,'SP export'!$G$15:$XFD$25,'SP export'!$A$19,)</f>
        <v>0</v>
      </c>
      <c r="AN77" s="44">
        <f>HLOOKUP($A77,'SP export'!$G$15:$XFD$25,'SP export'!$A$20,)</f>
        <v>0</v>
      </c>
      <c r="AO77" s="44">
        <f>HLOOKUP($A77,'SP export'!$G$15:$XFD$25,'SP export'!$A$21,)</f>
        <v>0</v>
      </c>
      <c r="AP77" s="44">
        <f>HLOOKUP($A77,'SP export'!$G$15:$XFD$25,'SP export'!$A$22,)</f>
        <v>0</v>
      </c>
      <c r="AQ77" s="44">
        <f>HLOOKUP($A77,'SP export'!$G$15:$XFD$25,'SP export'!$A$23,)</f>
        <v>0</v>
      </c>
      <c r="AS77" s="44"/>
    </row>
    <row r="78" spans="1:45" ht="56" customHeight="1">
      <c r="A78" s="45" t="s">
        <v>995</v>
      </c>
      <c r="B78" s="20">
        <v>56</v>
      </c>
      <c r="C78" s="24" t="s">
        <v>355</v>
      </c>
      <c r="D78" s="25" t="s">
        <v>45</v>
      </c>
      <c r="E78" s="22" t="s">
        <v>381</v>
      </c>
      <c r="F78" s="25" t="s">
        <v>19</v>
      </c>
      <c r="G78" s="21" t="s">
        <v>603</v>
      </c>
      <c r="H78" s="24" t="s">
        <v>1021</v>
      </c>
      <c r="I78" s="24" t="s">
        <v>1021</v>
      </c>
      <c r="J78" s="48" t="s">
        <v>878</v>
      </c>
      <c r="K78" s="24"/>
      <c r="L78" s="21" t="s">
        <v>604</v>
      </c>
      <c r="M78" s="21" t="s">
        <v>605</v>
      </c>
      <c r="N78" s="21">
        <v>22</v>
      </c>
      <c r="O78" s="21" t="s">
        <v>606</v>
      </c>
      <c r="P78" s="21"/>
      <c r="Q78" s="21" t="s">
        <v>606</v>
      </c>
      <c r="R78" s="21" t="s">
        <v>425</v>
      </c>
      <c r="S78" s="21" t="s">
        <v>459</v>
      </c>
      <c r="T78" s="21" t="s">
        <v>460</v>
      </c>
      <c r="U78" s="21">
        <v>33</v>
      </c>
      <c r="V78" s="21" t="s">
        <v>461</v>
      </c>
      <c r="W78" s="21">
        <v>33</v>
      </c>
      <c r="X78" s="21" t="s">
        <v>462</v>
      </c>
      <c r="Y78" s="24" t="s">
        <v>217</v>
      </c>
      <c r="Z78" s="24"/>
      <c r="AA78" s="24" t="s">
        <v>217</v>
      </c>
      <c r="AB78" s="70"/>
      <c r="AC78" s="25" t="s">
        <v>50</v>
      </c>
      <c r="AD78" s="22" t="s">
        <v>766</v>
      </c>
      <c r="AE78" s="26" t="s">
        <v>16</v>
      </c>
      <c r="AF78" s="25" t="s">
        <v>199</v>
      </c>
      <c r="AG78" s="25" t="s">
        <v>20</v>
      </c>
      <c r="AH78" s="24" t="s">
        <v>607</v>
      </c>
      <c r="AI78" s="24" t="s">
        <v>608</v>
      </c>
      <c r="AJ78" s="60" t="s">
        <v>878</v>
      </c>
      <c r="AK78" s="23" t="s">
        <v>1098</v>
      </c>
      <c r="AL78" s="22" t="s">
        <v>1225</v>
      </c>
      <c r="AM78" s="44">
        <f>HLOOKUP($A78,'SP export'!$G$15:$XFD$25,'SP export'!$A$19,)</f>
        <v>0</v>
      </c>
      <c r="AN78" s="44">
        <f>HLOOKUP($A78,'SP export'!$G$15:$XFD$25,'SP export'!$A$20,)</f>
        <v>0</v>
      </c>
      <c r="AO78" s="44">
        <f>HLOOKUP($A78,'SP export'!$G$15:$XFD$25,'SP export'!$A$21,)</f>
        <v>0</v>
      </c>
      <c r="AP78" s="44">
        <f>HLOOKUP($A78,'SP export'!$G$15:$XFD$25,'SP export'!$A$22,)</f>
        <v>0</v>
      </c>
      <c r="AQ78" s="44">
        <f>HLOOKUP($A78,'SP export'!$G$15:$XFD$25,'SP export'!$A$23,)</f>
        <v>0</v>
      </c>
      <c r="AS78" s="44"/>
    </row>
    <row r="79" spans="1:45" ht="56" customHeight="1">
      <c r="A79" s="45" t="s">
        <v>996</v>
      </c>
      <c r="B79" s="20">
        <v>57</v>
      </c>
      <c r="C79" s="24" t="s">
        <v>206</v>
      </c>
      <c r="D79" s="25" t="s">
        <v>194</v>
      </c>
      <c r="E79" s="22" t="s">
        <v>43</v>
      </c>
      <c r="F79" s="25" t="s">
        <v>19</v>
      </c>
      <c r="G79" s="21" t="s">
        <v>425</v>
      </c>
      <c r="H79" s="24" t="s">
        <v>874</v>
      </c>
      <c r="I79" s="24" t="s">
        <v>874</v>
      </c>
      <c r="J79" s="48" t="s">
        <v>878</v>
      </c>
      <c r="K79" s="24"/>
      <c r="L79" s="21" t="s">
        <v>474</v>
      </c>
      <c r="M79" s="21" t="s">
        <v>621</v>
      </c>
      <c r="N79" s="21">
        <v>18</v>
      </c>
      <c r="O79" s="21" t="s">
        <v>476</v>
      </c>
      <c r="P79" s="21">
        <v>18</v>
      </c>
      <c r="Q79" s="21" t="s">
        <v>622</v>
      </c>
      <c r="R79" s="21" t="s">
        <v>404</v>
      </c>
      <c r="S79" s="21" t="s">
        <v>623</v>
      </c>
      <c r="T79" s="21" t="s">
        <v>624</v>
      </c>
      <c r="U79" s="21">
        <v>8</v>
      </c>
      <c r="V79" s="21" t="s">
        <v>625</v>
      </c>
      <c r="W79" s="21"/>
      <c r="X79" s="21" t="s">
        <v>626</v>
      </c>
      <c r="Y79" s="24" t="s">
        <v>210</v>
      </c>
      <c r="Z79" s="24"/>
      <c r="AA79" s="24" t="s">
        <v>217</v>
      </c>
      <c r="AB79" s="70"/>
      <c r="AC79" s="25" t="s">
        <v>50</v>
      </c>
      <c r="AD79" s="22" t="s">
        <v>766</v>
      </c>
      <c r="AE79" s="26" t="s">
        <v>16</v>
      </c>
      <c r="AF79" s="25" t="s">
        <v>198</v>
      </c>
      <c r="AG79" s="25" t="s">
        <v>20</v>
      </c>
      <c r="AH79" s="24" t="s">
        <v>379</v>
      </c>
      <c r="AI79" s="24" t="s">
        <v>627</v>
      </c>
      <c r="AJ79" s="60" t="s">
        <v>878</v>
      </c>
      <c r="AK79" s="23" t="s">
        <v>1098</v>
      </c>
      <c r="AL79" s="22" t="s">
        <v>1226</v>
      </c>
      <c r="AM79" s="44">
        <f>HLOOKUP($A79,'SP export'!$G$15:$XFD$25,'SP export'!$A$19,)</f>
        <v>0</v>
      </c>
      <c r="AN79" s="44">
        <f>HLOOKUP($A79,'SP export'!$G$15:$XFD$25,'SP export'!$A$20,)</f>
        <v>0</v>
      </c>
      <c r="AO79" s="44">
        <f>HLOOKUP($A79,'SP export'!$G$15:$XFD$25,'SP export'!$A$21,)</f>
        <v>0</v>
      </c>
      <c r="AP79" s="44">
        <f>HLOOKUP($A79,'SP export'!$G$15:$XFD$25,'SP export'!$A$22,)</f>
        <v>0</v>
      </c>
      <c r="AQ79" s="44">
        <f>HLOOKUP($A79,'SP export'!$G$15:$XFD$25,'SP export'!$A$23,)</f>
        <v>0</v>
      </c>
      <c r="AS79" s="44"/>
    </row>
    <row r="80" spans="1:45" ht="56" customHeight="1">
      <c r="A80" s="45" t="s">
        <v>997</v>
      </c>
      <c r="B80" s="20">
        <v>58</v>
      </c>
      <c r="C80" s="24" t="s">
        <v>193</v>
      </c>
      <c r="D80" s="25" t="s">
        <v>194</v>
      </c>
      <c r="E80" s="22" t="s">
        <v>36</v>
      </c>
      <c r="F80" s="25" t="s">
        <v>19</v>
      </c>
      <c r="G80" s="21" t="s">
        <v>425</v>
      </c>
      <c r="H80" s="24" t="s">
        <v>879</v>
      </c>
      <c r="I80" s="24" t="s">
        <v>1021</v>
      </c>
      <c r="J80" s="48" t="s">
        <v>878</v>
      </c>
      <c r="K80" s="24"/>
      <c r="L80" s="21" t="s">
        <v>453</v>
      </c>
      <c r="M80" s="21" t="s">
        <v>577</v>
      </c>
      <c r="N80" s="21">
        <v>104</v>
      </c>
      <c r="O80" s="21" t="s">
        <v>455</v>
      </c>
      <c r="P80" s="21">
        <v>104</v>
      </c>
      <c r="Q80" s="21" t="s">
        <v>456</v>
      </c>
      <c r="R80" s="21" t="s">
        <v>404</v>
      </c>
      <c r="S80" s="21" t="s">
        <v>623</v>
      </c>
      <c r="T80" s="21" t="s">
        <v>624</v>
      </c>
      <c r="U80" s="21">
        <v>8</v>
      </c>
      <c r="V80" s="21" t="s">
        <v>625</v>
      </c>
      <c r="W80" s="21"/>
      <c r="X80" s="21" t="s">
        <v>626</v>
      </c>
      <c r="Y80" s="24" t="s">
        <v>217</v>
      </c>
      <c r="Z80" s="24"/>
      <c r="AA80" s="24" t="s">
        <v>217</v>
      </c>
      <c r="AB80" s="70"/>
      <c r="AC80" s="25" t="s">
        <v>50</v>
      </c>
      <c r="AD80" s="22" t="s">
        <v>766</v>
      </c>
      <c r="AE80" s="26" t="s">
        <v>16</v>
      </c>
      <c r="AF80" s="25" t="s">
        <v>198</v>
      </c>
      <c r="AG80" s="25" t="s">
        <v>20</v>
      </c>
      <c r="AH80" s="24" t="s">
        <v>379</v>
      </c>
      <c r="AI80" s="24" t="s">
        <v>602</v>
      </c>
      <c r="AJ80" s="60" t="s">
        <v>878</v>
      </c>
      <c r="AK80" s="23" t="s">
        <v>1098</v>
      </c>
      <c r="AL80" s="22" t="s">
        <v>1225</v>
      </c>
      <c r="AM80" s="44">
        <f>HLOOKUP($A80,'SP export'!$G$15:$XFD$25,'SP export'!$A$19,)</f>
        <v>0</v>
      </c>
      <c r="AN80" s="44">
        <f>HLOOKUP($A80,'SP export'!$G$15:$XFD$25,'SP export'!$A$20,)</f>
        <v>0</v>
      </c>
      <c r="AO80" s="44">
        <f>HLOOKUP($A80,'SP export'!$G$15:$XFD$25,'SP export'!$A$21,)</f>
        <v>0</v>
      </c>
      <c r="AP80" s="44">
        <f>HLOOKUP($A80,'SP export'!$G$15:$XFD$25,'SP export'!$A$22,)</f>
        <v>0</v>
      </c>
      <c r="AQ80" s="44">
        <f>HLOOKUP($A80,'SP export'!$G$15:$XFD$25,'SP export'!$A$23,)</f>
        <v>0</v>
      </c>
      <c r="AS80" s="44"/>
    </row>
    <row r="81" spans="1:45" ht="56" customHeight="1">
      <c r="A81" s="45" t="s">
        <v>998</v>
      </c>
      <c r="B81" s="20">
        <v>59</v>
      </c>
      <c r="C81" s="24" t="s">
        <v>356</v>
      </c>
      <c r="D81" s="25" t="s">
        <v>72</v>
      </c>
      <c r="E81" s="22" t="s">
        <v>43</v>
      </c>
      <c r="F81" s="25" t="s">
        <v>19</v>
      </c>
      <c r="G81" s="21" t="s">
        <v>556</v>
      </c>
      <c r="H81" s="24" t="s">
        <v>874</v>
      </c>
      <c r="I81" s="24" t="s">
        <v>874</v>
      </c>
      <c r="J81" s="48" t="s">
        <v>878</v>
      </c>
      <c r="K81" s="24"/>
      <c r="L81" s="21" t="s">
        <v>565</v>
      </c>
      <c r="M81" s="21" t="s">
        <v>628</v>
      </c>
      <c r="N81" s="21">
        <v>467</v>
      </c>
      <c r="O81" s="21" t="s">
        <v>567</v>
      </c>
      <c r="P81" s="21">
        <v>19278072.805139188</v>
      </c>
      <c r="Q81" s="21" t="s">
        <v>629</v>
      </c>
      <c r="R81" s="21" t="s">
        <v>425</v>
      </c>
      <c r="S81" s="21" t="s">
        <v>453</v>
      </c>
      <c r="T81" s="21" t="s">
        <v>577</v>
      </c>
      <c r="U81" s="21">
        <v>104</v>
      </c>
      <c r="V81" s="21" t="s">
        <v>455</v>
      </c>
      <c r="W81" s="21">
        <v>104</v>
      </c>
      <c r="X81" s="21" t="s">
        <v>456</v>
      </c>
      <c r="Y81" s="24" t="s">
        <v>630</v>
      </c>
      <c r="Z81" s="24"/>
      <c r="AA81" s="37" t="s">
        <v>578</v>
      </c>
      <c r="AB81" s="70">
        <v>60000</v>
      </c>
      <c r="AC81" s="25" t="s">
        <v>50</v>
      </c>
      <c r="AD81" s="22" t="s">
        <v>766</v>
      </c>
      <c r="AE81" s="26" t="s">
        <v>16</v>
      </c>
      <c r="AF81" s="25" t="s">
        <v>213</v>
      </c>
      <c r="AG81" s="25" t="s">
        <v>20</v>
      </c>
      <c r="AH81" s="24" t="s">
        <v>379</v>
      </c>
      <c r="AI81" s="24" t="s">
        <v>1241</v>
      </c>
      <c r="AJ81" s="60" t="s">
        <v>875</v>
      </c>
      <c r="AK81" s="23"/>
      <c r="AL81" s="22"/>
      <c r="AM81" s="44">
        <f>HLOOKUP($A81,'SP export'!$G$15:$XFD$25,'SP export'!$A$19,)</f>
        <v>-33642159</v>
      </c>
      <c r="AN81" s="44">
        <f>HLOOKUP($A81,'SP export'!$G$15:$XFD$25,'SP export'!$A$20,)</f>
        <v>-30.109172999999998</v>
      </c>
      <c r="AO81" s="44">
        <f>HLOOKUP($A81,'SP export'!$G$15:$XFD$25,'SP export'!$A$21,)</f>
        <v>-5836165.5999999996</v>
      </c>
      <c r="AP81" s="44">
        <f>HLOOKUP($A81,'SP export'!$G$15:$XFD$25,'SP export'!$A$22,)</f>
        <v>-316450340</v>
      </c>
      <c r="AQ81" s="44">
        <f>HLOOKUP($A81,'SP export'!$G$15:$XFD$25,'SP export'!$A$23,)</f>
        <v>-562579.09</v>
      </c>
      <c r="AS81" s="44"/>
    </row>
    <row r="82" spans="1:45" ht="56" customHeight="1">
      <c r="A82" s="45" t="s">
        <v>999</v>
      </c>
      <c r="B82" s="20">
        <v>61</v>
      </c>
      <c r="C82" s="24" t="s">
        <v>220</v>
      </c>
      <c r="D82" s="25" t="s">
        <v>220</v>
      </c>
      <c r="E82" s="22" t="s">
        <v>43</v>
      </c>
      <c r="F82" s="25" t="s">
        <v>19</v>
      </c>
      <c r="G82" s="21" t="s">
        <v>659</v>
      </c>
      <c r="H82" s="24" t="s">
        <v>879</v>
      </c>
      <c r="I82" s="24" t="s">
        <v>1021</v>
      </c>
      <c r="J82" s="48" t="s">
        <v>878</v>
      </c>
      <c r="K82" s="24"/>
      <c r="L82" s="25" t="s">
        <v>660</v>
      </c>
      <c r="M82" s="25" t="s">
        <v>661</v>
      </c>
      <c r="N82" s="25">
        <v>136</v>
      </c>
      <c r="O82" s="25" t="s">
        <v>217</v>
      </c>
      <c r="P82" s="25" t="s">
        <v>217</v>
      </c>
      <c r="Q82" s="25" t="s">
        <v>217</v>
      </c>
      <c r="R82" s="25" t="s">
        <v>659</v>
      </c>
      <c r="S82" s="25" t="s">
        <v>662</v>
      </c>
      <c r="T82" s="25" t="s">
        <v>663</v>
      </c>
      <c r="U82" s="25" t="s">
        <v>217</v>
      </c>
      <c r="V82" s="25" t="s">
        <v>217</v>
      </c>
      <c r="W82" s="25" t="s">
        <v>217</v>
      </c>
      <c r="X82" s="25" t="s">
        <v>217</v>
      </c>
      <c r="Y82" s="26" t="s">
        <v>217</v>
      </c>
      <c r="Z82" s="26"/>
      <c r="AA82" s="26" t="str">
        <f>$AD$3</f>
        <v>ELEMENT MATCHING</v>
      </c>
      <c r="AB82" s="71"/>
      <c r="AC82" s="25" t="s">
        <v>222</v>
      </c>
      <c r="AD82" s="22" t="s">
        <v>768</v>
      </c>
      <c r="AE82" s="26" t="s">
        <v>16</v>
      </c>
      <c r="AF82" s="25" t="s">
        <v>223</v>
      </c>
      <c r="AG82" s="26" t="s">
        <v>20</v>
      </c>
      <c r="AH82" s="25" t="s">
        <v>379</v>
      </c>
      <c r="AI82" s="25" t="s">
        <v>379</v>
      </c>
      <c r="AJ82" s="60" t="s">
        <v>878</v>
      </c>
      <c r="AK82" s="23" t="s">
        <v>1098</v>
      </c>
      <c r="AL82" s="22" t="s">
        <v>1228</v>
      </c>
      <c r="AM82" s="44">
        <f>HLOOKUP($A82,'SP export'!$G$15:$XFD$25,'SP export'!$A$19,)</f>
        <v>0</v>
      </c>
      <c r="AN82" s="44">
        <f>HLOOKUP($A82,'SP export'!$G$15:$XFD$25,'SP export'!$A$20,)</f>
        <v>0</v>
      </c>
      <c r="AO82" s="44">
        <f>HLOOKUP($A82,'SP export'!$G$15:$XFD$25,'SP export'!$A$21,)</f>
        <v>0</v>
      </c>
      <c r="AP82" s="44">
        <f>HLOOKUP($A82,'SP export'!$G$15:$XFD$25,'SP export'!$A$22,)</f>
        <v>0</v>
      </c>
      <c r="AQ82" s="44">
        <f>HLOOKUP($A82,'SP export'!$G$15:$XFD$25,'SP export'!$A$23,)</f>
        <v>0</v>
      </c>
      <c r="AS82" s="44"/>
    </row>
    <row r="83" spans="1:45" ht="56" customHeight="1">
      <c r="A83" s="45" t="s">
        <v>1000</v>
      </c>
      <c r="B83" s="20">
        <v>62</v>
      </c>
      <c r="C83" s="24" t="s">
        <v>224</v>
      </c>
      <c r="D83" s="25" t="s">
        <v>225</v>
      </c>
      <c r="E83" s="22" t="s">
        <v>43</v>
      </c>
      <c r="F83" s="25" t="s">
        <v>19</v>
      </c>
      <c r="G83" s="21" t="s">
        <v>664</v>
      </c>
      <c r="H83" s="24" t="s">
        <v>879</v>
      </c>
      <c r="I83" s="24" t="s">
        <v>1021</v>
      </c>
      <c r="J83" s="48" t="s">
        <v>878</v>
      </c>
      <c r="K83" s="24"/>
      <c r="L83" s="25" t="s">
        <v>665</v>
      </c>
      <c r="M83" s="25" t="s">
        <v>666</v>
      </c>
      <c r="N83" s="25">
        <v>185</v>
      </c>
      <c r="O83" s="25" t="s">
        <v>217</v>
      </c>
      <c r="P83" s="25" t="s">
        <v>217</v>
      </c>
      <c r="Q83" s="25" t="s">
        <v>217</v>
      </c>
      <c r="R83" s="25" t="s">
        <v>667</v>
      </c>
      <c r="S83" s="25" t="s">
        <v>668</v>
      </c>
      <c r="T83" s="25" t="s">
        <v>669</v>
      </c>
      <c r="U83" s="25">
        <v>1710</v>
      </c>
      <c r="V83" s="25" t="s">
        <v>217</v>
      </c>
      <c r="W83" s="25">
        <v>1710</v>
      </c>
      <c r="X83" s="25" t="s">
        <v>217</v>
      </c>
      <c r="Y83" s="26" t="s">
        <v>217</v>
      </c>
      <c r="Z83" s="26"/>
      <c r="AA83" s="26" t="str">
        <f>$AD$3</f>
        <v>ELEMENT MATCHING</v>
      </c>
      <c r="AB83" s="71"/>
      <c r="AC83" s="25" t="s">
        <v>222</v>
      </c>
      <c r="AD83" s="22" t="s">
        <v>768</v>
      </c>
      <c r="AE83" s="26" t="s">
        <v>16</v>
      </c>
      <c r="AF83" s="26" t="s">
        <v>229</v>
      </c>
      <c r="AG83" s="26" t="s">
        <v>20</v>
      </c>
      <c r="AH83" s="25" t="s">
        <v>379</v>
      </c>
      <c r="AI83" s="25" t="s">
        <v>379</v>
      </c>
      <c r="AJ83" s="60" t="s">
        <v>878</v>
      </c>
      <c r="AK83" s="23" t="s">
        <v>1098</v>
      </c>
      <c r="AL83" s="22" t="s">
        <v>1228</v>
      </c>
      <c r="AM83" s="44">
        <f>HLOOKUP($A83,'SP export'!$G$15:$XFD$25,'SP export'!$A$19,)</f>
        <v>0</v>
      </c>
      <c r="AN83" s="44">
        <f>HLOOKUP($A83,'SP export'!$G$15:$XFD$25,'SP export'!$A$20,)</f>
        <v>0</v>
      </c>
      <c r="AO83" s="44">
        <f>HLOOKUP($A83,'SP export'!$G$15:$XFD$25,'SP export'!$A$21,)</f>
        <v>0</v>
      </c>
      <c r="AP83" s="44">
        <f>HLOOKUP($A83,'SP export'!$G$15:$XFD$25,'SP export'!$A$22,)</f>
        <v>0</v>
      </c>
      <c r="AQ83" s="44">
        <f>HLOOKUP($A83,'SP export'!$G$15:$XFD$25,'SP export'!$A$23,)</f>
        <v>0</v>
      </c>
      <c r="AS83" s="44"/>
    </row>
    <row r="84" spans="1:45" ht="56" customHeight="1">
      <c r="A84" s="45" t="s">
        <v>1001</v>
      </c>
      <c r="B84" s="20">
        <v>63</v>
      </c>
      <c r="C84" s="24" t="s">
        <v>230</v>
      </c>
      <c r="D84" s="25" t="s">
        <v>231</v>
      </c>
      <c r="E84" s="22" t="s">
        <v>43</v>
      </c>
      <c r="F84" s="25" t="s">
        <v>19</v>
      </c>
      <c r="G84" s="21" t="s">
        <v>667</v>
      </c>
      <c r="H84" s="24" t="s">
        <v>879</v>
      </c>
      <c r="I84" s="24" t="s">
        <v>1021</v>
      </c>
      <c r="J84" s="48" t="s">
        <v>878</v>
      </c>
      <c r="K84" s="24"/>
      <c r="L84" s="25" t="s">
        <v>668</v>
      </c>
      <c r="M84" s="25" t="s">
        <v>670</v>
      </c>
      <c r="N84" s="25">
        <v>4862</v>
      </c>
      <c r="O84" s="25" t="s">
        <v>217</v>
      </c>
      <c r="P84" s="25">
        <v>4862</v>
      </c>
      <c r="Q84" s="25" t="s">
        <v>217</v>
      </c>
      <c r="R84" s="25" t="s">
        <v>671</v>
      </c>
      <c r="S84" s="25" t="s">
        <v>672</v>
      </c>
      <c r="T84" s="25" t="s">
        <v>673</v>
      </c>
      <c r="U84" s="25">
        <v>252</v>
      </c>
      <c r="V84" s="25" t="s">
        <v>217</v>
      </c>
      <c r="W84" s="26">
        <v>13</v>
      </c>
      <c r="X84" s="25" t="s">
        <v>217</v>
      </c>
      <c r="Y84" s="26" t="s">
        <v>217</v>
      </c>
      <c r="Z84" s="26"/>
      <c r="AA84" s="26" t="str">
        <f>$AD$3</f>
        <v>ELEMENT MATCHING</v>
      </c>
      <c r="AB84" s="71"/>
      <c r="AC84" s="25" t="s">
        <v>222</v>
      </c>
      <c r="AD84" s="22" t="s">
        <v>768</v>
      </c>
      <c r="AE84" s="26" t="s">
        <v>16</v>
      </c>
      <c r="AF84" s="26" t="s">
        <v>234</v>
      </c>
      <c r="AG84" s="26" t="s">
        <v>20</v>
      </c>
      <c r="AH84" s="25" t="s">
        <v>379</v>
      </c>
      <c r="AI84" s="25" t="s">
        <v>379</v>
      </c>
      <c r="AJ84" s="60" t="s">
        <v>878</v>
      </c>
      <c r="AK84" s="23" t="s">
        <v>1098</v>
      </c>
      <c r="AL84" s="22" t="s">
        <v>1228</v>
      </c>
      <c r="AM84" s="44">
        <f>HLOOKUP($A84,'SP export'!$G$15:$XFD$25,'SP export'!$A$19,)</f>
        <v>0</v>
      </c>
      <c r="AN84" s="44">
        <f>HLOOKUP($A84,'SP export'!$G$15:$XFD$25,'SP export'!$A$20,)</f>
        <v>0</v>
      </c>
      <c r="AO84" s="44">
        <f>HLOOKUP($A84,'SP export'!$G$15:$XFD$25,'SP export'!$A$21,)</f>
        <v>0</v>
      </c>
      <c r="AP84" s="44">
        <f>HLOOKUP($A84,'SP export'!$G$15:$XFD$25,'SP export'!$A$22,)</f>
        <v>0</v>
      </c>
      <c r="AQ84" s="44">
        <f>HLOOKUP($A84,'SP export'!$G$15:$XFD$25,'SP export'!$A$23,)</f>
        <v>0</v>
      </c>
      <c r="AS84" s="44"/>
    </row>
    <row r="85" spans="1:45" ht="56" customHeight="1">
      <c r="A85" s="45" t="s">
        <v>1002</v>
      </c>
      <c r="B85" s="20">
        <v>70</v>
      </c>
      <c r="C85" s="24" t="s">
        <v>194</v>
      </c>
      <c r="D85" s="25" t="s">
        <v>261</v>
      </c>
      <c r="E85" s="22" t="s">
        <v>21</v>
      </c>
      <c r="F85" s="25" t="s">
        <v>19</v>
      </c>
      <c r="G85" s="21" t="s">
        <v>439</v>
      </c>
      <c r="H85" s="24" t="s">
        <v>879</v>
      </c>
      <c r="I85" s="24" t="s">
        <v>1021</v>
      </c>
      <c r="J85" s="48" t="s">
        <v>878</v>
      </c>
      <c r="K85" s="24"/>
      <c r="L85" s="25" t="s">
        <v>688</v>
      </c>
      <c r="M85" s="25" t="s">
        <v>688</v>
      </c>
      <c r="N85" s="25" t="s">
        <v>217</v>
      </c>
      <c r="O85" s="25" t="s">
        <v>217</v>
      </c>
      <c r="P85" s="25" t="s">
        <v>217</v>
      </c>
      <c r="Q85" s="25" t="s">
        <v>217</v>
      </c>
      <c r="R85" s="25" t="s">
        <v>448</v>
      </c>
      <c r="S85" s="25" t="s">
        <v>689</v>
      </c>
      <c r="T85" s="25" t="s">
        <v>696</v>
      </c>
      <c r="U85" s="25" t="s">
        <v>217</v>
      </c>
      <c r="V85" s="25" t="s">
        <v>217</v>
      </c>
      <c r="W85" s="25" t="s">
        <v>217</v>
      </c>
      <c r="X85" s="25" t="s">
        <v>217</v>
      </c>
      <c r="Y85" s="22" t="s">
        <v>263</v>
      </c>
      <c r="Z85" s="22"/>
      <c r="AA85" s="22" t="s">
        <v>217</v>
      </c>
      <c r="AB85" s="70"/>
      <c r="AC85" s="25" t="s">
        <v>222</v>
      </c>
      <c r="AD85" s="22" t="s">
        <v>768</v>
      </c>
      <c r="AE85" s="25" t="s">
        <v>16</v>
      </c>
      <c r="AF85" s="26" t="s">
        <v>264</v>
      </c>
      <c r="AG85" s="26" t="s">
        <v>20</v>
      </c>
      <c r="AH85" s="25" t="s">
        <v>379</v>
      </c>
      <c r="AI85" s="25" t="s">
        <v>697</v>
      </c>
      <c r="AJ85" s="60" t="s">
        <v>878</v>
      </c>
      <c r="AK85" s="23" t="s">
        <v>1098</v>
      </c>
      <c r="AL85" s="22" t="s">
        <v>1228</v>
      </c>
      <c r="AM85" s="44">
        <f>HLOOKUP($A85,'SP export'!$G$15:$XFD$25,'SP export'!$A$19,)</f>
        <v>0</v>
      </c>
      <c r="AN85" s="44">
        <f>HLOOKUP($A85,'SP export'!$G$15:$XFD$25,'SP export'!$A$20,)</f>
        <v>0</v>
      </c>
      <c r="AO85" s="44">
        <f>HLOOKUP($A85,'SP export'!$G$15:$XFD$25,'SP export'!$A$21,)</f>
        <v>0</v>
      </c>
      <c r="AP85" s="44">
        <f>HLOOKUP($A85,'SP export'!$G$15:$XFD$25,'SP export'!$A$22,)</f>
        <v>0</v>
      </c>
      <c r="AQ85" s="44">
        <f>HLOOKUP($A85,'SP export'!$G$15:$XFD$25,'SP export'!$A$23,)</f>
        <v>0</v>
      </c>
      <c r="AS85" s="44"/>
    </row>
    <row r="86" spans="1:45" ht="56" customHeight="1">
      <c r="A86" s="45" t="s">
        <v>1003</v>
      </c>
      <c r="B86" s="20">
        <v>71</v>
      </c>
      <c r="C86" s="21" t="s">
        <v>357</v>
      </c>
      <c r="D86" s="25" t="s">
        <v>317</v>
      </c>
      <c r="E86" s="22" t="s">
        <v>380</v>
      </c>
      <c r="F86" s="25" t="s">
        <v>19</v>
      </c>
      <c r="G86" s="21" t="s">
        <v>425</v>
      </c>
      <c r="H86" s="24" t="s">
        <v>866</v>
      </c>
      <c r="I86" s="24" t="s">
        <v>874</v>
      </c>
      <c r="J86" s="48" t="s">
        <v>878</v>
      </c>
      <c r="K86" s="24"/>
      <c r="L86" s="21" t="s">
        <v>453</v>
      </c>
      <c r="M86" s="21" t="s">
        <v>454</v>
      </c>
      <c r="N86" s="21">
        <v>104</v>
      </c>
      <c r="O86" s="21" t="s">
        <v>455</v>
      </c>
      <c r="P86" s="21">
        <v>104</v>
      </c>
      <c r="Q86" s="21" t="s">
        <v>456</v>
      </c>
      <c r="R86" s="30" t="s">
        <v>394</v>
      </c>
      <c r="S86" s="30" t="s">
        <v>698</v>
      </c>
      <c r="T86" s="30" t="s">
        <v>699</v>
      </c>
      <c r="U86" s="23">
        <v>61</v>
      </c>
      <c r="V86" s="31" t="s">
        <v>700</v>
      </c>
      <c r="W86" s="30" t="s">
        <v>217</v>
      </c>
      <c r="X86" s="31" t="s">
        <v>700</v>
      </c>
      <c r="Y86" s="23" t="s">
        <v>303</v>
      </c>
      <c r="Z86" s="23"/>
      <c r="AA86" s="23" t="s">
        <v>701</v>
      </c>
      <c r="AB86" s="71"/>
      <c r="AC86" s="22" t="s">
        <v>17</v>
      </c>
      <c r="AD86" s="22" t="s">
        <v>377</v>
      </c>
      <c r="AE86" s="23" t="s">
        <v>16</v>
      </c>
      <c r="AF86" s="26" t="s">
        <v>304</v>
      </c>
      <c r="AG86" s="26" t="s">
        <v>20</v>
      </c>
      <c r="AH86" s="26" t="s">
        <v>379</v>
      </c>
      <c r="AI86" s="25" t="s">
        <v>702</v>
      </c>
      <c r="AJ86" s="60" t="s">
        <v>878</v>
      </c>
      <c r="AK86" s="23" t="s">
        <v>1098</v>
      </c>
      <c r="AL86" s="22" t="s">
        <v>1229</v>
      </c>
      <c r="AM86" s="44">
        <f>HLOOKUP($A86,'SP export'!$G$15:$XFD$25,'SP export'!$A$19,)</f>
        <v>0</v>
      </c>
      <c r="AN86" s="44">
        <f>HLOOKUP($A86,'SP export'!$G$15:$XFD$25,'SP export'!$A$20,)</f>
        <v>0</v>
      </c>
      <c r="AO86" s="44">
        <f>HLOOKUP($A86,'SP export'!$G$15:$XFD$25,'SP export'!$A$21,)</f>
        <v>0</v>
      </c>
      <c r="AP86" s="44">
        <f>HLOOKUP($A86,'SP export'!$G$15:$XFD$25,'SP export'!$A$22,)</f>
        <v>0</v>
      </c>
      <c r="AQ86" s="44">
        <f>HLOOKUP($A86,'SP export'!$G$15:$XFD$25,'SP export'!$A$23,)</f>
        <v>0</v>
      </c>
      <c r="AS86" s="44"/>
    </row>
    <row r="87" spans="1:45" ht="56" customHeight="1">
      <c r="A87" s="45" t="s">
        <v>1004</v>
      </c>
      <c r="B87" s="20">
        <v>72</v>
      </c>
      <c r="C87" s="32" t="s">
        <v>358</v>
      </c>
      <c r="D87" s="25" t="s">
        <v>318</v>
      </c>
      <c r="E87" s="22" t="s">
        <v>43</v>
      </c>
      <c r="F87" s="25" t="s">
        <v>19</v>
      </c>
      <c r="G87" s="21" t="s">
        <v>499</v>
      </c>
      <c r="H87" s="24" t="s">
        <v>1105</v>
      </c>
      <c r="I87" s="24" t="s">
        <v>874</v>
      </c>
      <c r="J87" s="48" t="s">
        <v>878</v>
      </c>
      <c r="K87" s="24"/>
      <c r="L87" s="21" t="s">
        <v>500</v>
      </c>
      <c r="M87" s="21" t="s">
        <v>501</v>
      </c>
      <c r="N87" s="21">
        <v>192</v>
      </c>
      <c r="O87" s="21" t="s">
        <v>502</v>
      </c>
      <c r="P87" s="21">
        <v>77</v>
      </c>
      <c r="Q87" s="21" t="s">
        <v>503</v>
      </c>
      <c r="R87" s="21" t="s">
        <v>391</v>
      </c>
      <c r="S87" s="21" t="s">
        <v>422</v>
      </c>
      <c r="T87" s="21" t="s">
        <v>423</v>
      </c>
      <c r="U87" s="21">
        <v>231</v>
      </c>
      <c r="V87" s="21" t="s">
        <v>504</v>
      </c>
      <c r="W87" s="21">
        <v>231</v>
      </c>
      <c r="X87" s="21" t="s">
        <v>505</v>
      </c>
      <c r="Y87" s="40" t="s">
        <v>1104</v>
      </c>
      <c r="Z87" s="23"/>
      <c r="AA87" s="21" t="s">
        <v>703</v>
      </c>
      <c r="AB87" s="70">
        <v>20</v>
      </c>
      <c r="AC87" s="22" t="s">
        <v>50</v>
      </c>
      <c r="AD87" s="25" t="s">
        <v>377</v>
      </c>
      <c r="AE87" s="23" t="s">
        <v>16</v>
      </c>
      <c r="AF87" s="26" t="s">
        <v>306</v>
      </c>
      <c r="AG87" s="26" t="s">
        <v>20</v>
      </c>
      <c r="AH87" s="24" t="s">
        <v>379</v>
      </c>
      <c r="AI87" s="25" t="s">
        <v>704</v>
      </c>
      <c r="AJ87" s="60" t="s">
        <v>875</v>
      </c>
      <c r="AK87" s="23"/>
      <c r="AL87" s="23"/>
      <c r="AM87" s="44">
        <f>HLOOKUP($A87,'SP export'!$G$15:$XFD$25,'SP export'!$A$19,)</f>
        <v>-43.227426000000001</v>
      </c>
      <c r="AN87" s="44">
        <f>HLOOKUP($A87,'SP export'!$G$15:$XFD$25,'SP export'!$A$20,)</f>
        <v>-4.2591350999999999E-5</v>
      </c>
      <c r="AO87" s="44">
        <f>HLOOKUP($A87,'SP export'!$G$15:$XFD$25,'SP export'!$A$21,)</f>
        <v>-20.329751000000002</v>
      </c>
      <c r="AP87" s="44">
        <f>HLOOKUP($A87,'SP export'!$G$15:$XFD$25,'SP export'!$A$22,)</f>
        <v>-669.34866999999997</v>
      </c>
      <c r="AQ87" s="44">
        <f>HLOOKUP($A87,'SP export'!$G$15:$XFD$25,'SP export'!$A$23,)</f>
        <v>-3.4199009</v>
      </c>
      <c r="AS87" s="44"/>
    </row>
    <row r="88" spans="1:45" ht="56" customHeight="1">
      <c r="A88" s="45" t="s">
        <v>1005</v>
      </c>
      <c r="B88" s="20">
        <v>73</v>
      </c>
      <c r="C88" s="21" t="s">
        <v>359</v>
      </c>
      <c r="D88" s="25" t="s">
        <v>319</v>
      </c>
      <c r="E88" s="30" t="s">
        <v>43</v>
      </c>
      <c r="F88" s="22" t="s">
        <v>19</v>
      </c>
      <c r="G88" s="30" t="s">
        <v>404</v>
      </c>
      <c r="H88" s="24" t="s">
        <v>866</v>
      </c>
      <c r="I88" s="24" t="s">
        <v>874</v>
      </c>
      <c r="J88" s="48" t="s">
        <v>875</v>
      </c>
      <c r="K88" s="24"/>
      <c r="L88" s="30" t="s">
        <v>705</v>
      </c>
      <c r="M88" s="30" t="s">
        <v>706</v>
      </c>
      <c r="N88" s="23">
        <v>66</v>
      </c>
      <c r="O88" s="30" t="s">
        <v>707</v>
      </c>
      <c r="P88" s="30" t="s">
        <v>217</v>
      </c>
      <c r="Q88" s="30" t="s">
        <v>708</v>
      </c>
      <c r="R88" s="30" t="s">
        <v>394</v>
      </c>
      <c r="S88" s="30" t="s">
        <v>698</v>
      </c>
      <c r="T88" s="30" t="s">
        <v>699</v>
      </c>
      <c r="U88" s="23">
        <v>61</v>
      </c>
      <c r="V88" s="31" t="s">
        <v>700</v>
      </c>
      <c r="W88" s="30" t="s">
        <v>217</v>
      </c>
      <c r="X88" s="31" t="s">
        <v>700</v>
      </c>
      <c r="Y88" s="40" t="s">
        <v>1274</v>
      </c>
      <c r="Z88" s="23"/>
      <c r="AA88" s="23" t="s">
        <v>709</v>
      </c>
      <c r="AB88" s="71"/>
      <c r="AC88" s="22" t="s">
        <v>50</v>
      </c>
      <c r="AD88" s="25" t="s">
        <v>377</v>
      </c>
      <c r="AE88" s="23" t="s">
        <v>16</v>
      </c>
      <c r="AF88" s="26" t="s">
        <v>309</v>
      </c>
      <c r="AG88" s="26" t="s">
        <v>35</v>
      </c>
      <c r="AH88" s="26" t="s">
        <v>379</v>
      </c>
      <c r="AI88" s="25" t="s">
        <v>710</v>
      </c>
      <c r="AJ88" s="60" t="s">
        <v>878</v>
      </c>
      <c r="AK88" s="23"/>
      <c r="AL88" s="22"/>
      <c r="AM88" s="44">
        <f>HLOOKUP($A88,'SP export'!$G$15:$XFD$25,'SP export'!$A$19,)</f>
        <v>0</v>
      </c>
      <c r="AN88" s="44">
        <f>HLOOKUP($A88,'SP export'!$G$15:$XFD$25,'SP export'!$A$20,)</f>
        <v>0</v>
      </c>
      <c r="AO88" s="44">
        <f>HLOOKUP($A88,'SP export'!$G$15:$XFD$25,'SP export'!$A$21,)</f>
        <v>0</v>
      </c>
      <c r="AP88" s="44">
        <f>HLOOKUP($A88,'SP export'!$G$15:$XFD$25,'SP export'!$A$22,)</f>
        <v>0</v>
      </c>
      <c r="AQ88" s="44">
        <f>HLOOKUP($A88,'SP export'!$G$15:$XFD$25,'SP export'!$A$23,)</f>
        <v>0</v>
      </c>
      <c r="AS88" s="44"/>
    </row>
    <row r="89" spans="1:45" ht="56" customHeight="1">
      <c r="A89" s="45" t="s">
        <v>1006</v>
      </c>
      <c r="B89" s="20">
        <v>74</v>
      </c>
      <c r="C89" s="21" t="s">
        <v>357</v>
      </c>
      <c r="D89" s="25" t="s">
        <v>320</v>
      </c>
      <c r="E89" s="30" t="s">
        <v>43</v>
      </c>
      <c r="F89" s="22" t="s">
        <v>19</v>
      </c>
      <c r="G89" s="21" t="s">
        <v>425</v>
      </c>
      <c r="H89" s="24" t="s">
        <v>866</v>
      </c>
      <c r="I89" s="24" t="s">
        <v>874</v>
      </c>
      <c r="J89" s="48" t="s">
        <v>878</v>
      </c>
      <c r="K89" s="24"/>
      <c r="L89" s="21" t="s">
        <v>453</v>
      </c>
      <c r="M89" s="21" t="s">
        <v>454</v>
      </c>
      <c r="N89" s="21">
        <v>104</v>
      </c>
      <c r="O89" s="21" t="s">
        <v>455</v>
      </c>
      <c r="P89" s="21">
        <v>104</v>
      </c>
      <c r="Q89" s="21" t="s">
        <v>456</v>
      </c>
      <c r="R89" s="30" t="s">
        <v>394</v>
      </c>
      <c r="S89" s="30" t="s">
        <v>698</v>
      </c>
      <c r="T89" s="30" t="s">
        <v>699</v>
      </c>
      <c r="U89" s="23">
        <v>61</v>
      </c>
      <c r="V89" s="31" t="s">
        <v>700</v>
      </c>
      <c r="W89" s="30" t="s">
        <v>217</v>
      </c>
      <c r="X89" s="31" t="s">
        <v>700</v>
      </c>
      <c r="Y89" s="26" t="s">
        <v>303</v>
      </c>
      <c r="Z89" s="23"/>
      <c r="AA89" s="23" t="s">
        <v>709</v>
      </c>
      <c r="AB89" s="71"/>
      <c r="AC89" s="22" t="s">
        <v>17</v>
      </c>
      <c r="AD89" s="25" t="s">
        <v>377</v>
      </c>
      <c r="AE89" s="23" t="s">
        <v>16</v>
      </c>
      <c r="AF89" s="26" t="s">
        <v>304</v>
      </c>
      <c r="AG89" s="26" t="s">
        <v>20</v>
      </c>
      <c r="AH89" s="26" t="s">
        <v>379</v>
      </c>
      <c r="AI89" s="25" t="s">
        <v>702</v>
      </c>
      <c r="AJ89" s="60" t="s">
        <v>878</v>
      </c>
      <c r="AK89" s="23" t="s">
        <v>1098</v>
      </c>
      <c r="AL89" s="22" t="s">
        <v>1229</v>
      </c>
      <c r="AM89" s="44">
        <f>HLOOKUP($A89,'SP export'!$G$15:$XFD$25,'SP export'!$A$19,)</f>
        <v>0</v>
      </c>
      <c r="AN89" s="44">
        <f>HLOOKUP($A89,'SP export'!$G$15:$XFD$25,'SP export'!$A$20,)</f>
        <v>0</v>
      </c>
      <c r="AO89" s="44">
        <f>HLOOKUP($A89,'SP export'!$G$15:$XFD$25,'SP export'!$A$21,)</f>
        <v>0</v>
      </c>
      <c r="AP89" s="44">
        <f>HLOOKUP($A89,'SP export'!$G$15:$XFD$25,'SP export'!$A$22,)</f>
        <v>0</v>
      </c>
      <c r="AQ89" s="44">
        <f>HLOOKUP($A89,'SP export'!$G$15:$XFD$25,'SP export'!$A$23,)</f>
        <v>0</v>
      </c>
      <c r="AS89" s="44"/>
    </row>
    <row r="90" spans="1:45" ht="56" customHeight="1">
      <c r="A90" s="45" t="s">
        <v>1007</v>
      </c>
      <c r="B90" s="20">
        <v>75</v>
      </c>
      <c r="C90" s="21" t="s">
        <v>44</v>
      </c>
      <c r="D90" s="25" t="s">
        <v>321</v>
      </c>
      <c r="E90" s="30" t="s">
        <v>380</v>
      </c>
      <c r="F90" s="22" t="s">
        <v>19</v>
      </c>
      <c r="G90" s="30" t="s">
        <v>66</v>
      </c>
      <c r="H90" s="24" t="s">
        <v>874</v>
      </c>
      <c r="I90" s="24" t="s">
        <v>874</v>
      </c>
      <c r="J90" s="48" t="s">
        <v>878</v>
      </c>
      <c r="K90" s="24"/>
      <c r="L90" s="30" t="s">
        <v>711</v>
      </c>
      <c r="M90" s="30" t="s">
        <v>712</v>
      </c>
      <c r="N90" s="24">
        <v>211</v>
      </c>
      <c r="O90" s="24" t="s">
        <v>713</v>
      </c>
      <c r="P90" s="24">
        <v>116</v>
      </c>
      <c r="Q90" s="24" t="s">
        <v>714</v>
      </c>
      <c r="R90" s="30" t="s">
        <v>425</v>
      </c>
      <c r="S90" s="30" t="s">
        <v>453</v>
      </c>
      <c r="T90" s="30" t="s">
        <v>577</v>
      </c>
      <c r="U90" s="21">
        <v>104</v>
      </c>
      <c r="V90" s="21" t="s">
        <v>455</v>
      </c>
      <c r="W90" s="21">
        <v>104</v>
      </c>
      <c r="X90" s="21" t="s">
        <v>456</v>
      </c>
      <c r="Y90" s="40" t="s">
        <v>311</v>
      </c>
      <c r="Z90" s="23"/>
      <c r="AA90" s="21" t="s">
        <v>217</v>
      </c>
      <c r="AB90" s="70">
        <v>448</v>
      </c>
      <c r="AC90" s="22" t="s">
        <v>50</v>
      </c>
      <c r="AD90" s="25" t="s">
        <v>377</v>
      </c>
      <c r="AE90" s="23" t="s">
        <v>16</v>
      </c>
      <c r="AF90" s="26" t="s">
        <v>304</v>
      </c>
      <c r="AG90" s="26" t="s">
        <v>20</v>
      </c>
      <c r="AH90" s="24" t="s">
        <v>379</v>
      </c>
      <c r="AI90" s="25" t="s">
        <v>715</v>
      </c>
      <c r="AJ90" s="60" t="s">
        <v>875</v>
      </c>
      <c r="AK90" s="23"/>
      <c r="AL90" s="23"/>
      <c r="AM90" s="44">
        <f>HLOOKUP($A90,'SP export'!$G$15:$XFD$25,'SP export'!$A$19,)</f>
        <v>-0.62322025999999997</v>
      </c>
      <c r="AN90" s="44">
        <f>HLOOKUP($A90,'SP export'!$G$15:$XFD$25,'SP export'!$A$20,)</f>
        <v>-1.5730448999999998E-5</v>
      </c>
      <c r="AO90" s="44">
        <f>HLOOKUP($A90,'SP export'!$G$15:$XFD$25,'SP export'!$A$21,)</f>
        <v>-5.7062875999999996</v>
      </c>
      <c r="AP90" s="44">
        <f>HLOOKUP($A90,'SP export'!$G$15:$XFD$25,'SP export'!$A$22,)</f>
        <v>-7.2343776999999996</v>
      </c>
      <c r="AQ90" s="44">
        <f>HLOOKUP($A90,'SP export'!$G$15:$XFD$25,'SP export'!$A$23,)</f>
        <v>-5.8916575999999998E-2</v>
      </c>
      <c r="AS90" s="44"/>
    </row>
    <row r="91" spans="1:45" ht="56" customHeight="1">
      <c r="A91" s="45" t="s">
        <v>1008</v>
      </c>
      <c r="B91" s="20">
        <v>76</v>
      </c>
      <c r="C91" s="21" t="s">
        <v>52</v>
      </c>
      <c r="D91" s="25" t="s">
        <v>322</v>
      </c>
      <c r="E91" s="30" t="s">
        <v>43</v>
      </c>
      <c r="F91" s="22" t="s">
        <v>19</v>
      </c>
      <c r="G91" s="30" t="s">
        <v>391</v>
      </c>
      <c r="H91" s="24" t="s">
        <v>866</v>
      </c>
      <c r="I91" s="24" t="s">
        <v>874</v>
      </c>
      <c r="J91" s="48" t="s">
        <v>878</v>
      </c>
      <c r="K91" s="24"/>
      <c r="L91" s="21" t="s">
        <v>431</v>
      </c>
      <c r="M91" s="21" t="s">
        <v>432</v>
      </c>
      <c r="N91" s="21">
        <v>101</v>
      </c>
      <c r="O91" s="21" t="s">
        <v>528</v>
      </c>
      <c r="P91" s="21">
        <v>101</v>
      </c>
      <c r="Q91" s="21" t="s">
        <v>529</v>
      </c>
      <c r="R91" s="21" t="s">
        <v>425</v>
      </c>
      <c r="S91" s="21" t="s">
        <v>474</v>
      </c>
      <c r="T91" s="21" t="s">
        <v>554</v>
      </c>
      <c r="U91" s="21">
        <v>18</v>
      </c>
      <c r="V91" s="21" t="s">
        <v>476</v>
      </c>
      <c r="W91" s="21" t="s">
        <v>217</v>
      </c>
      <c r="X91" s="21" t="s">
        <v>217</v>
      </c>
      <c r="Y91" s="38" t="s">
        <v>1106</v>
      </c>
      <c r="Z91" s="23"/>
      <c r="AA91" s="23"/>
      <c r="AB91" s="71">
        <f>AVERAGE(209576,2644356)</f>
        <v>1426966</v>
      </c>
      <c r="AC91" s="22" t="s">
        <v>50</v>
      </c>
      <c r="AD91" s="25" t="s">
        <v>377</v>
      </c>
      <c r="AE91" s="23" t="s">
        <v>16</v>
      </c>
      <c r="AF91" s="26" t="s">
        <v>315</v>
      </c>
      <c r="AG91" s="26" t="s">
        <v>20</v>
      </c>
      <c r="AH91" s="26"/>
      <c r="AI91" s="24" t="s">
        <v>1107</v>
      </c>
      <c r="AJ91" s="60" t="s">
        <v>875</v>
      </c>
      <c r="AK91" s="23"/>
      <c r="AL91" s="23"/>
      <c r="AM91" s="44">
        <f>HLOOKUP($A91,'SP export'!$G$15:$XFD$25,'SP export'!$A$19,)</f>
        <v>-147424950</v>
      </c>
      <c r="AN91" s="44">
        <f>HLOOKUP($A91,'SP export'!$G$15:$XFD$25,'SP export'!$A$20,)</f>
        <v>-228.63802000000001</v>
      </c>
      <c r="AO91" s="44">
        <f>HLOOKUP($A91,'SP export'!$G$15:$XFD$25,'SP export'!$A$21,)</f>
        <v>-59606340</v>
      </c>
      <c r="AP91" s="44">
        <f>HLOOKUP($A91,'SP export'!$G$15:$XFD$25,'SP export'!$A$22,)</f>
        <v>-2323529900</v>
      </c>
      <c r="AQ91" s="44">
        <f>HLOOKUP($A91,'SP export'!$G$15:$XFD$25,'SP export'!$A$23,)</f>
        <v>-4315421.7</v>
      </c>
      <c r="AS91" s="44"/>
    </row>
    <row r="92" spans="1:45" ht="56" customHeight="1">
      <c r="A92" s="45" t="s">
        <v>1009</v>
      </c>
      <c r="B92" s="20">
        <v>77</v>
      </c>
      <c r="C92" s="21" t="s">
        <v>52</v>
      </c>
      <c r="D92" s="25" t="s">
        <v>322</v>
      </c>
      <c r="E92" s="30" t="s">
        <v>43</v>
      </c>
      <c r="F92" s="22" t="s">
        <v>19</v>
      </c>
      <c r="G92" s="30" t="s">
        <v>391</v>
      </c>
      <c r="H92" s="24" t="s">
        <v>866</v>
      </c>
      <c r="I92" s="24" t="s">
        <v>874</v>
      </c>
      <c r="J92" s="48" t="s">
        <v>878</v>
      </c>
      <c r="K92" s="24"/>
      <c r="L92" s="21" t="s">
        <v>431</v>
      </c>
      <c r="M92" s="21" t="s">
        <v>432</v>
      </c>
      <c r="N92" s="21">
        <v>101</v>
      </c>
      <c r="O92" s="21" t="s">
        <v>528</v>
      </c>
      <c r="P92" s="21">
        <v>101</v>
      </c>
      <c r="Q92" s="21" t="s">
        <v>529</v>
      </c>
      <c r="R92" s="21" t="s">
        <v>603</v>
      </c>
      <c r="S92" s="21" t="s">
        <v>604</v>
      </c>
      <c r="T92" s="21" t="s">
        <v>605</v>
      </c>
      <c r="U92" s="21">
        <v>22</v>
      </c>
      <c r="V92" s="21" t="s">
        <v>606</v>
      </c>
      <c r="W92" s="21"/>
      <c r="X92" s="21" t="s">
        <v>606</v>
      </c>
      <c r="Y92" s="38" t="s">
        <v>1106</v>
      </c>
      <c r="Z92" s="23"/>
      <c r="AA92" s="23"/>
      <c r="AB92" s="71">
        <f>AVERAGE(209576,2644356)</f>
        <v>1426966</v>
      </c>
      <c r="AC92" s="22" t="s">
        <v>50</v>
      </c>
      <c r="AD92" s="25" t="s">
        <v>377</v>
      </c>
      <c r="AE92" s="23" t="s">
        <v>16</v>
      </c>
      <c r="AF92" s="26" t="s">
        <v>315</v>
      </c>
      <c r="AG92" s="26" t="s">
        <v>20</v>
      </c>
      <c r="AH92" s="26"/>
      <c r="AI92" s="24" t="s">
        <v>435</v>
      </c>
      <c r="AJ92" s="60" t="s">
        <v>875</v>
      </c>
      <c r="AK92" s="23"/>
      <c r="AL92" s="23"/>
      <c r="AM92" s="44">
        <f>HLOOKUP($A92,'SP export'!$G$15:$XFD$25,'SP export'!$A$19,)</f>
        <v>-147424950</v>
      </c>
      <c r="AN92" s="44">
        <f>HLOOKUP($A92,'SP export'!$G$15:$XFD$25,'SP export'!$A$20,)</f>
        <v>-228.63802000000001</v>
      </c>
      <c r="AO92" s="44">
        <f>HLOOKUP($A92,'SP export'!$G$15:$XFD$25,'SP export'!$A$21,)</f>
        <v>-59606340</v>
      </c>
      <c r="AP92" s="44">
        <f>HLOOKUP($A92,'SP export'!$G$15:$XFD$25,'SP export'!$A$22,)</f>
        <v>-2323529900</v>
      </c>
      <c r="AQ92" s="44">
        <f>HLOOKUP($A92,'SP export'!$G$15:$XFD$25,'SP export'!$A$23,)</f>
        <v>-4315421.7</v>
      </c>
      <c r="AS92" s="44"/>
    </row>
    <row r="93" spans="1:45" ht="56" customHeight="1">
      <c r="A93" s="45" t="s">
        <v>1010</v>
      </c>
      <c r="B93" s="20">
        <v>81</v>
      </c>
      <c r="C93" s="21" t="s">
        <v>647</v>
      </c>
      <c r="D93" s="25" t="s">
        <v>277</v>
      </c>
      <c r="E93" s="30" t="s">
        <v>36</v>
      </c>
      <c r="F93" s="22" t="s">
        <v>34</v>
      </c>
      <c r="G93" s="30" t="s">
        <v>394</v>
      </c>
      <c r="H93" s="24" t="s">
        <v>1108</v>
      </c>
      <c r="I93" s="24" t="s">
        <v>880</v>
      </c>
      <c r="J93" s="48" t="s">
        <v>878</v>
      </c>
      <c r="K93" s="24"/>
      <c r="L93" s="21" t="s">
        <v>579</v>
      </c>
      <c r="M93" s="21" t="s">
        <v>580</v>
      </c>
      <c r="N93" s="21"/>
      <c r="O93" s="21" t="s">
        <v>532</v>
      </c>
      <c r="P93" s="21">
        <v>110</v>
      </c>
      <c r="Q93" s="21" t="s">
        <v>581</v>
      </c>
      <c r="R93" s="21" t="s">
        <v>391</v>
      </c>
      <c r="S93" s="21" t="s">
        <v>493</v>
      </c>
      <c r="T93" s="21" t="s">
        <v>494</v>
      </c>
      <c r="U93" s="21">
        <v>86</v>
      </c>
      <c r="V93" s="21" t="s">
        <v>495</v>
      </c>
      <c r="W93" s="21">
        <v>86</v>
      </c>
      <c r="X93" s="21" t="s">
        <v>495</v>
      </c>
      <c r="Y93" s="37" t="s">
        <v>284</v>
      </c>
      <c r="Z93" s="21"/>
      <c r="AA93" s="21" t="s">
        <v>724</v>
      </c>
      <c r="AB93" s="70">
        <v>327200</v>
      </c>
      <c r="AC93" s="22" t="s">
        <v>17</v>
      </c>
      <c r="AD93" s="25" t="s">
        <v>766</v>
      </c>
      <c r="AE93" s="23" t="s">
        <v>16</v>
      </c>
      <c r="AF93" s="25" t="s">
        <v>279</v>
      </c>
      <c r="AG93" s="25" t="s">
        <v>20</v>
      </c>
      <c r="AH93" s="24" t="s">
        <v>725</v>
      </c>
      <c r="AI93" s="24" t="s">
        <v>726</v>
      </c>
      <c r="AJ93" s="60" t="s">
        <v>875</v>
      </c>
      <c r="AK93" s="23"/>
      <c r="AL93" s="68"/>
      <c r="AM93" s="44">
        <f>HLOOKUP($A93,'SP export'!$G$15:$XFD$25,'SP export'!$A$19,)</f>
        <v>-155645560</v>
      </c>
      <c r="AN93" s="44">
        <f>HLOOKUP($A93,'SP export'!$G$15:$XFD$25,'SP export'!$A$20,)</f>
        <v>-202.18037000000001</v>
      </c>
      <c r="AO93" s="44">
        <f>HLOOKUP($A93,'SP export'!$G$15:$XFD$25,'SP export'!$A$21,)</f>
        <v>-86813580</v>
      </c>
      <c r="AP93" s="44">
        <f>HLOOKUP($A93,'SP export'!$G$15:$XFD$25,'SP export'!$A$22,)</f>
        <v>-18344617000</v>
      </c>
      <c r="AQ93" s="44">
        <f>HLOOKUP($A93,'SP export'!$G$15:$XFD$25,'SP export'!$A$23,)</f>
        <v>-5516106.9000000004</v>
      </c>
      <c r="AS93" s="44"/>
    </row>
    <row r="94" spans="1:45" ht="56" customHeight="1">
      <c r="A94" s="50" t="s">
        <v>1011</v>
      </c>
      <c r="B94" s="47">
        <v>85</v>
      </c>
      <c r="C94" s="21" t="s">
        <v>648</v>
      </c>
      <c r="D94" s="25" t="s">
        <v>277</v>
      </c>
      <c r="E94" s="30" t="s">
        <v>36</v>
      </c>
      <c r="F94" s="22" t="s">
        <v>34</v>
      </c>
      <c r="G94" s="30" t="s">
        <v>394</v>
      </c>
      <c r="H94" s="24" t="s">
        <v>1108</v>
      </c>
      <c r="I94" s="24" t="s">
        <v>880</v>
      </c>
      <c r="J94" s="48" t="s">
        <v>878</v>
      </c>
      <c r="K94" s="24"/>
      <c r="L94" s="21" t="s">
        <v>731</v>
      </c>
      <c r="M94" s="21" t="s">
        <v>732</v>
      </c>
      <c r="N94" s="21">
        <v>52</v>
      </c>
      <c r="O94" s="21" t="s">
        <v>733</v>
      </c>
      <c r="P94" s="21">
        <v>52</v>
      </c>
      <c r="Q94" s="21" t="s">
        <v>733</v>
      </c>
      <c r="R94" s="21" t="s">
        <v>425</v>
      </c>
      <c r="S94" s="21" t="s">
        <v>426</v>
      </c>
      <c r="T94" s="21" t="s">
        <v>427</v>
      </c>
      <c r="U94" s="21">
        <v>15</v>
      </c>
      <c r="V94" s="21" t="s">
        <v>734</v>
      </c>
      <c r="W94" s="21">
        <v>9</v>
      </c>
      <c r="X94" s="21" t="s">
        <v>428</v>
      </c>
      <c r="Y94" s="21"/>
      <c r="Z94" s="21"/>
      <c r="AA94" s="24" t="s">
        <v>735</v>
      </c>
      <c r="AB94" s="70"/>
      <c r="AC94" s="22" t="s">
        <v>56</v>
      </c>
      <c r="AD94" s="25" t="s">
        <v>766</v>
      </c>
      <c r="AE94" s="23" t="s">
        <v>16</v>
      </c>
      <c r="AF94" s="25" t="s">
        <v>292</v>
      </c>
      <c r="AG94" s="25" t="s">
        <v>20</v>
      </c>
      <c r="AH94" s="24" t="s">
        <v>725</v>
      </c>
      <c r="AI94" s="24" t="s">
        <v>1110</v>
      </c>
      <c r="AJ94" s="60" t="s">
        <v>878</v>
      </c>
      <c r="AK94" s="23" t="s">
        <v>1098</v>
      </c>
      <c r="AL94" s="68" t="s">
        <v>1227</v>
      </c>
      <c r="AM94" s="44">
        <f>HLOOKUP($A94,'SP export'!$G$15:$XFD$25,'SP export'!$A$19,)</f>
        <v>0</v>
      </c>
      <c r="AN94" s="44">
        <f>HLOOKUP($A94,'SP export'!$G$15:$XFD$25,'SP export'!$A$20,)</f>
        <v>0</v>
      </c>
      <c r="AO94" s="44">
        <f>HLOOKUP($A94,'SP export'!$G$15:$XFD$25,'SP export'!$A$21,)</f>
        <v>0</v>
      </c>
      <c r="AP94" s="44">
        <f>HLOOKUP($A94,'SP export'!$G$15:$XFD$25,'SP export'!$A$22,)</f>
        <v>0</v>
      </c>
      <c r="AQ94" s="44">
        <f>HLOOKUP($A94,'SP export'!$G$15:$XFD$25,'SP export'!$A$23,)</f>
        <v>0</v>
      </c>
      <c r="AS94" s="44"/>
    </row>
    <row r="95" spans="1:45" ht="56" customHeight="1">
      <c r="A95" s="45" t="s">
        <v>1012</v>
      </c>
      <c r="B95" s="20">
        <v>88</v>
      </c>
      <c r="C95" s="21" t="s">
        <v>649</v>
      </c>
      <c r="D95" s="25" t="s">
        <v>277</v>
      </c>
      <c r="E95" s="22" t="s">
        <v>36</v>
      </c>
      <c r="F95" s="22" t="s">
        <v>34</v>
      </c>
      <c r="G95" s="21" t="s">
        <v>394</v>
      </c>
      <c r="H95" s="24" t="s">
        <v>1108</v>
      </c>
      <c r="I95" s="24" t="s">
        <v>880</v>
      </c>
      <c r="J95" s="48" t="s">
        <v>878</v>
      </c>
      <c r="K95" s="24"/>
      <c r="L95" s="21" t="s">
        <v>579</v>
      </c>
      <c r="M95" s="21" t="s">
        <v>580</v>
      </c>
      <c r="N95" s="21"/>
      <c r="O95" s="21" t="s">
        <v>532</v>
      </c>
      <c r="P95" s="21">
        <v>110</v>
      </c>
      <c r="Q95" s="21" t="s">
        <v>747</v>
      </c>
      <c r="R95" s="21" t="s">
        <v>439</v>
      </c>
      <c r="S95" s="21" t="s">
        <v>743</v>
      </c>
      <c r="T95" s="21" t="s">
        <v>744</v>
      </c>
      <c r="U95" s="21">
        <v>24</v>
      </c>
      <c r="V95" s="21" t="s">
        <v>745</v>
      </c>
      <c r="W95" s="21"/>
      <c r="X95" s="21" t="s">
        <v>746</v>
      </c>
      <c r="Y95" s="21"/>
      <c r="Z95" s="21"/>
      <c r="AA95" s="21"/>
      <c r="AB95" s="70"/>
      <c r="AC95" s="22" t="s">
        <v>56</v>
      </c>
      <c r="AD95" s="25" t="s">
        <v>766</v>
      </c>
      <c r="AE95" s="23" t="s">
        <v>16</v>
      </c>
      <c r="AF95" s="25" t="s">
        <v>279</v>
      </c>
      <c r="AG95" s="25" t="s">
        <v>20</v>
      </c>
      <c r="AH95" s="24" t="s">
        <v>725</v>
      </c>
      <c r="AI95" s="24" t="s">
        <v>726</v>
      </c>
      <c r="AJ95" s="60" t="s">
        <v>878</v>
      </c>
      <c r="AK95" s="23" t="s">
        <v>1098</v>
      </c>
      <c r="AL95" s="68" t="s">
        <v>1227</v>
      </c>
      <c r="AM95" s="44">
        <f>HLOOKUP($A95,'SP export'!$G$15:$XFD$25,'SP export'!$A$19,)</f>
        <v>0</v>
      </c>
      <c r="AN95" s="44">
        <f>HLOOKUP($A95,'SP export'!$G$15:$XFD$25,'SP export'!$A$20,)</f>
        <v>0</v>
      </c>
      <c r="AO95" s="44">
        <f>HLOOKUP($A95,'SP export'!$G$15:$XFD$25,'SP export'!$A$21,)</f>
        <v>0</v>
      </c>
      <c r="AP95" s="44">
        <f>HLOOKUP($A95,'SP export'!$G$15:$XFD$25,'SP export'!$A$22,)</f>
        <v>0</v>
      </c>
      <c r="AQ95" s="44">
        <f>HLOOKUP($A95,'SP export'!$G$15:$XFD$25,'SP export'!$A$23,)</f>
        <v>0</v>
      </c>
      <c r="AS95" s="44"/>
    </row>
    <row r="96" spans="1:45" ht="56" customHeight="1">
      <c r="A96" s="45" t="s">
        <v>1013</v>
      </c>
      <c r="B96" s="20">
        <v>91</v>
      </c>
      <c r="C96" s="24" t="s">
        <v>330</v>
      </c>
      <c r="D96" s="25" t="s">
        <v>330</v>
      </c>
      <c r="E96" s="25" t="s">
        <v>21</v>
      </c>
      <c r="F96" s="25" t="s">
        <v>366</v>
      </c>
      <c r="G96" s="21" t="s">
        <v>853</v>
      </c>
      <c r="H96" s="24" t="s">
        <v>881</v>
      </c>
      <c r="I96" s="24"/>
      <c r="J96" s="63" t="s">
        <v>875</v>
      </c>
      <c r="K96" s="24"/>
      <c r="L96" s="21" t="s">
        <v>853</v>
      </c>
      <c r="M96" s="21" t="s">
        <v>853</v>
      </c>
      <c r="N96" s="21" t="s">
        <v>853</v>
      </c>
      <c r="O96" s="21" t="s">
        <v>853</v>
      </c>
      <c r="P96" s="21" t="s">
        <v>853</v>
      </c>
      <c r="Q96" s="21" t="s">
        <v>853</v>
      </c>
      <c r="R96" s="21" t="s">
        <v>853</v>
      </c>
      <c r="S96" s="21" t="s">
        <v>853</v>
      </c>
      <c r="T96" s="21" t="s">
        <v>853</v>
      </c>
      <c r="U96" s="21" t="s">
        <v>853</v>
      </c>
      <c r="V96" s="21" t="s">
        <v>853</v>
      </c>
      <c r="W96" s="21" t="s">
        <v>853</v>
      </c>
      <c r="X96" s="21" t="s">
        <v>853</v>
      </c>
      <c r="Y96" s="21" t="s">
        <v>853</v>
      </c>
      <c r="Z96" s="21"/>
      <c r="AA96" s="21" t="s">
        <v>853</v>
      </c>
      <c r="AB96" s="70"/>
      <c r="AC96" s="22" t="s">
        <v>332</v>
      </c>
      <c r="AD96" s="25" t="s">
        <v>382</v>
      </c>
      <c r="AE96" s="25" t="s">
        <v>16</v>
      </c>
      <c r="AF96" s="25" t="s">
        <v>339</v>
      </c>
      <c r="AG96" s="25" t="s">
        <v>20</v>
      </c>
      <c r="AH96" s="24" t="s">
        <v>853</v>
      </c>
      <c r="AI96" s="24" t="s">
        <v>853</v>
      </c>
      <c r="AJ96" s="60" t="s">
        <v>875</v>
      </c>
      <c r="AK96" s="23" t="s">
        <v>1276</v>
      </c>
      <c r="AL96" s="23"/>
      <c r="AM96" s="44">
        <f>HLOOKUP($A96,'SP export'!$G$15:$XFD$25,'SP export'!$A$19,)</f>
        <v>-96.344723999999999</v>
      </c>
      <c r="AN96" s="83">
        <f>HLOOKUP($A96,'SP export'!$G$15:$XFD$25,'SP export'!$A$20,)</f>
        <v>-5.7757387000000001E-5</v>
      </c>
      <c r="AO96" s="44">
        <f>HLOOKUP($A96,'SP export'!$G$15:$XFD$25,'SP export'!$A$21,)</f>
        <v>-11.463286</v>
      </c>
      <c r="AP96" s="44">
        <f>HLOOKUP($A96,'SP export'!$G$15:$XFD$25,'SP export'!$A$22,)</f>
        <v>-1464.0402999999999</v>
      </c>
      <c r="AQ96" s="84">
        <f>HLOOKUP($A96,'SP export'!$G$15:$XFD$25,'SP export'!$A$23,)</f>
        <v>-0.50809327000000004</v>
      </c>
      <c r="AS96" s="44"/>
    </row>
    <row r="97" spans="1:45" ht="56" customHeight="1">
      <c r="A97" s="45" t="s">
        <v>1014</v>
      </c>
      <c r="B97" s="20">
        <v>92</v>
      </c>
      <c r="C97" s="24" t="s">
        <v>330</v>
      </c>
      <c r="D97" s="25" t="s">
        <v>330</v>
      </c>
      <c r="E97" s="25" t="s">
        <v>21</v>
      </c>
      <c r="F97" s="25" t="s">
        <v>366</v>
      </c>
      <c r="G97" s="21" t="s">
        <v>854</v>
      </c>
      <c r="H97" s="24" t="s">
        <v>881</v>
      </c>
      <c r="I97" s="24"/>
      <c r="J97" s="63" t="s">
        <v>875</v>
      </c>
      <c r="K97" s="24"/>
      <c r="L97" s="21" t="s">
        <v>854</v>
      </c>
      <c r="M97" s="21" t="s">
        <v>854</v>
      </c>
      <c r="N97" s="21" t="s">
        <v>854</v>
      </c>
      <c r="O97" s="21" t="s">
        <v>854</v>
      </c>
      <c r="P97" s="21" t="s">
        <v>854</v>
      </c>
      <c r="Q97" s="21" t="s">
        <v>854</v>
      </c>
      <c r="R97" s="21" t="s">
        <v>854</v>
      </c>
      <c r="S97" s="21" t="s">
        <v>854</v>
      </c>
      <c r="T97" s="21" t="s">
        <v>854</v>
      </c>
      <c r="U97" s="21" t="s">
        <v>854</v>
      </c>
      <c r="V97" s="21" t="s">
        <v>854</v>
      </c>
      <c r="W97" s="21" t="s">
        <v>854</v>
      </c>
      <c r="X97" s="21" t="s">
        <v>854</v>
      </c>
      <c r="Y97" s="21" t="s">
        <v>854</v>
      </c>
      <c r="Z97" s="21"/>
      <c r="AA97" s="21" t="s">
        <v>854</v>
      </c>
      <c r="AB97" s="70"/>
      <c r="AC97" s="22" t="s">
        <v>332</v>
      </c>
      <c r="AD97" s="25" t="s">
        <v>763</v>
      </c>
      <c r="AE97" s="25" t="s">
        <v>16</v>
      </c>
      <c r="AF97" s="25" t="s">
        <v>336</v>
      </c>
      <c r="AG97" s="25" t="s">
        <v>20</v>
      </c>
      <c r="AH97" s="24" t="s">
        <v>854</v>
      </c>
      <c r="AI97" s="24" t="s">
        <v>854</v>
      </c>
      <c r="AJ97" s="60" t="s">
        <v>875</v>
      </c>
      <c r="AK97" s="23" t="s">
        <v>1111</v>
      </c>
      <c r="AL97" s="23"/>
      <c r="AM97" s="44"/>
      <c r="AN97" s="44"/>
      <c r="AO97" s="44"/>
      <c r="AP97" s="44"/>
      <c r="AQ97" s="44"/>
      <c r="AS97" s="44"/>
    </row>
    <row r="98" spans="1:45" ht="56" customHeight="1">
      <c r="A98" s="45" t="s">
        <v>1015</v>
      </c>
      <c r="B98" s="20">
        <v>93</v>
      </c>
      <c r="C98" s="24" t="s">
        <v>334</v>
      </c>
      <c r="D98" s="25" t="s">
        <v>334</v>
      </c>
      <c r="E98" s="25" t="s">
        <v>21</v>
      </c>
      <c r="F98" s="25" t="s">
        <v>366</v>
      </c>
      <c r="G98" s="21" t="s">
        <v>855</v>
      </c>
      <c r="H98" s="24" t="s">
        <v>881</v>
      </c>
      <c r="I98" s="24"/>
      <c r="J98" s="63" t="s">
        <v>875</v>
      </c>
      <c r="K98" s="24"/>
      <c r="L98" s="21" t="s">
        <v>855</v>
      </c>
      <c r="M98" s="21" t="s">
        <v>855</v>
      </c>
      <c r="N98" s="21" t="s">
        <v>855</v>
      </c>
      <c r="O98" s="21" t="s">
        <v>855</v>
      </c>
      <c r="P98" s="21" t="s">
        <v>855</v>
      </c>
      <c r="Q98" s="21" t="s">
        <v>855</v>
      </c>
      <c r="R98" s="21" t="s">
        <v>855</v>
      </c>
      <c r="S98" s="21" t="s">
        <v>855</v>
      </c>
      <c r="T98" s="21" t="s">
        <v>855</v>
      </c>
      <c r="U98" s="21" t="s">
        <v>855</v>
      </c>
      <c r="V98" s="21" t="s">
        <v>855</v>
      </c>
      <c r="W98" s="21" t="s">
        <v>855</v>
      </c>
      <c r="X98" s="21" t="s">
        <v>855</v>
      </c>
      <c r="Y98" s="21" t="s">
        <v>855</v>
      </c>
      <c r="Z98" s="21"/>
      <c r="AA98" s="21" t="s">
        <v>855</v>
      </c>
      <c r="AB98" s="70"/>
      <c r="AC98" s="22" t="s">
        <v>332</v>
      </c>
      <c r="AD98" s="25" t="s">
        <v>764</v>
      </c>
      <c r="AE98" s="25" t="s">
        <v>16</v>
      </c>
      <c r="AF98" s="25" t="s">
        <v>337</v>
      </c>
      <c r="AG98" s="25" t="s">
        <v>20</v>
      </c>
      <c r="AH98" s="24" t="s">
        <v>855</v>
      </c>
      <c r="AI98" s="24" t="s">
        <v>855</v>
      </c>
      <c r="AJ98" s="60" t="s">
        <v>875</v>
      </c>
      <c r="AK98" s="23" t="s">
        <v>1277</v>
      </c>
      <c r="AL98" s="23"/>
      <c r="AM98" s="44">
        <f>HLOOKUP($A98,'SP export'!$G$15:$XFD$25,'SP export'!$A$19,)</f>
        <v>-103.34344</v>
      </c>
      <c r="AN98" s="83">
        <f>HLOOKUP($A98,'SP export'!$G$15:$XFD$25,'SP export'!$A$20,)</f>
        <v>-3.1290127999999997E-5</v>
      </c>
      <c r="AO98" s="44">
        <f>HLOOKUP($A98,'SP export'!$G$15:$XFD$25,'SP export'!$A$21,)</f>
        <v>-9.4146858000000009</v>
      </c>
      <c r="AP98" s="44">
        <f>HLOOKUP($A98,'SP export'!$G$15:$XFD$25,'SP export'!$A$22,)</f>
        <v>-1567.7967000000001</v>
      </c>
      <c r="AQ98" s="84">
        <f>HLOOKUP($A98,'SP export'!$G$15:$XFD$25,'SP export'!$A$23,)</f>
        <v>-1.0794022999999999</v>
      </c>
      <c r="AS98" s="44"/>
    </row>
    <row r="99" spans="1:45" ht="56" customHeight="1">
      <c r="A99" s="45" t="s">
        <v>1016</v>
      </c>
      <c r="B99" s="20">
        <v>94</v>
      </c>
      <c r="C99" s="24" t="s">
        <v>334</v>
      </c>
      <c r="D99" s="25" t="s">
        <v>334</v>
      </c>
      <c r="E99" s="25" t="s">
        <v>21</v>
      </c>
      <c r="F99" s="25" t="s">
        <v>366</v>
      </c>
      <c r="G99" s="21" t="s">
        <v>856</v>
      </c>
      <c r="H99" s="24" t="s">
        <v>881</v>
      </c>
      <c r="I99" s="24"/>
      <c r="J99" s="63" t="s">
        <v>875</v>
      </c>
      <c r="K99" s="24"/>
      <c r="L99" s="21" t="s">
        <v>856</v>
      </c>
      <c r="M99" s="21" t="s">
        <v>856</v>
      </c>
      <c r="N99" s="21" t="s">
        <v>856</v>
      </c>
      <c r="O99" s="21" t="s">
        <v>856</v>
      </c>
      <c r="P99" s="21" t="s">
        <v>856</v>
      </c>
      <c r="Q99" s="21" t="s">
        <v>856</v>
      </c>
      <c r="R99" s="21" t="s">
        <v>856</v>
      </c>
      <c r="S99" s="21" t="s">
        <v>856</v>
      </c>
      <c r="T99" s="21" t="s">
        <v>856</v>
      </c>
      <c r="U99" s="21" t="s">
        <v>856</v>
      </c>
      <c r="V99" s="21" t="s">
        <v>856</v>
      </c>
      <c r="W99" s="21" t="s">
        <v>856</v>
      </c>
      <c r="X99" s="21" t="s">
        <v>856</v>
      </c>
      <c r="Y99" s="21" t="s">
        <v>856</v>
      </c>
      <c r="Z99" s="21"/>
      <c r="AA99" s="21" t="s">
        <v>856</v>
      </c>
      <c r="AB99" s="70"/>
      <c r="AC99" s="22" t="s">
        <v>332</v>
      </c>
      <c r="AD99" s="25" t="s">
        <v>383</v>
      </c>
      <c r="AE99" s="25" t="s">
        <v>16</v>
      </c>
      <c r="AF99" s="25" t="s">
        <v>340</v>
      </c>
      <c r="AG99" s="25" t="s">
        <v>20</v>
      </c>
      <c r="AH99" s="24" t="s">
        <v>856</v>
      </c>
      <c r="AI99" s="24" t="s">
        <v>856</v>
      </c>
      <c r="AJ99" s="60" t="s">
        <v>875</v>
      </c>
      <c r="AK99" s="23" t="s">
        <v>1112</v>
      </c>
      <c r="AL99" s="23"/>
      <c r="AM99" s="44"/>
      <c r="AN99" s="44"/>
      <c r="AO99" s="44"/>
      <c r="AP99" s="44"/>
      <c r="AQ99" s="44"/>
      <c r="AS99" s="44"/>
    </row>
    <row r="100" spans="1:45" ht="56" customHeight="1">
      <c r="A100" s="45" t="s">
        <v>1017</v>
      </c>
      <c r="B100" s="20">
        <v>95</v>
      </c>
      <c r="C100" s="24" t="s">
        <v>362</v>
      </c>
      <c r="D100" s="25" t="s">
        <v>341</v>
      </c>
      <c r="E100" s="25" t="s">
        <v>347</v>
      </c>
      <c r="F100" s="25" t="s">
        <v>367</v>
      </c>
      <c r="G100" s="21" t="s">
        <v>857</v>
      </c>
      <c r="H100" s="24" t="s">
        <v>1021</v>
      </c>
      <c r="I100" s="24" t="s">
        <v>1021</v>
      </c>
      <c r="J100" s="48" t="s">
        <v>875</v>
      </c>
      <c r="K100" s="24"/>
      <c r="L100" s="21" t="s">
        <v>857</v>
      </c>
      <c r="M100" s="21" t="s">
        <v>857</v>
      </c>
      <c r="N100" s="33"/>
      <c r="O100" s="33"/>
      <c r="P100" s="33"/>
      <c r="Q100" s="33"/>
      <c r="R100" s="21" t="s">
        <v>598</v>
      </c>
      <c r="S100" s="21" t="s">
        <v>757</v>
      </c>
      <c r="T100" s="21" t="s">
        <v>757</v>
      </c>
      <c r="U100" s="33"/>
      <c r="V100" s="33"/>
      <c r="W100" s="33"/>
      <c r="X100" s="33"/>
      <c r="Y100" s="21" t="s">
        <v>857</v>
      </c>
      <c r="Z100" s="21"/>
      <c r="AA100" s="21" t="s">
        <v>379</v>
      </c>
      <c r="AB100" s="70"/>
      <c r="AC100" s="22" t="s">
        <v>50</v>
      </c>
      <c r="AD100" s="25" t="s">
        <v>388</v>
      </c>
      <c r="AE100" s="25" t="s">
        <v>16</v>
      </c>
      <c r="AF100" s="25" t="s">
        <v>346</v>
      </c>
      <c r="AG100" s="25" t="s">
        <v>20</v>
      </c>
      <c r="AH100" s="24" t="s">
        <v>857</v>
      </c>
      <c r="AI100" s="24" t="s">
        <v>857</v>
      </c>
      <c r="AJ100" s="60" t="s">
        <v>875</v>
      </c>
      <c r="AK100" s="23" t="s">
        <v>1278</v>
      </c>
      <c r="AL100" s="23"/>
      <c r="AM100" s="44">
        <f>HLOOKUP($A100,'SP export'!$G$15:$XFD$25,'SP export'!$A$19,)</f>
        <v>-3120.8505</v>
      </c>
      <c r="AN100" s="83">
        <f>HLOOKUP($A100,'SP export'!$G$15:$XFD$25,'SP export'!$A$20,)</f>
        <v>-1.6103044E-3</v>
      </c>
      <c r="AO100" s="44">
        <f>HLOOKUP($A100,'SP export'!$G$15:$XFD$25,'SP export'!$A$21,)</f>
        <v>-592.23188000000005</v>
      </c>
      <c r="AP100" s="44">
        <f>HLOOKUP($A100,'SP export'!$G$15:$XFD$25,'SP export'!$A$22,)</f>
        <v>-67187.850000000006</v>
      </c>
      <c r="AQ100" s="44">
        <f>HLOOKUP($A100,'SP export'!$G$15:$XFD$25,'SP export'!$A$23,)</f>
        <v>-64.269391999999996</v>
      </c>
      <c r="AS100" s="44"/>
    </row>
    <row r="101" spans="1:45" ht="56" customHeight="1">
      <c r="A101" s="45" t="s">
        <v>1018</v>
      </c>
      <c r="B101" s="20">
        <v>96</v>
      </c>
      <c r="C101" s="24" t="s">
        <v>363</v>
      </c>
      <c r="D101" s="25" t="s">
        <v>341</v>
      </c>
      <c r="E101" s="25" t="s">
        <v>347</v>
      </c>
      <c r="F101" s="25" t="s">
        <v>367</v>
      </c>
      <c r="G101" s="21" t="s">
        <v>858</v>
      </c>
      <c r="H101" s="24" t="s">
        <v>1021</v>
      </c>
      <c r="I101" s="24" t="s">
        <v>1021</v>
      </c>
      <c r="J101" s="48" t="s">
        <v>875</v>
      </c>
      <c r="K101" s="24"/>
      <c r="L101" s="21" t="s">
        <v>858</v>
      </c>
      <c r="M101" s="21" t="s">
        <v>858</v>
      </c>
      <c r="N101" s="33"/>
      <c r="O101" s="33"/>
      <c r="P101" s="33"/>
      <c r="Q101" s="33"/>
      <c r="R101" s="21" t="s">
        <v>598</v>
      </c>
      <c r="S101" s="21" t="s">
        <v>757</v>
      </c>
      <c r="T101" s="21" t="s">
        <v>757</v>
      </c>
      <c r="U101" s="33"/>
      <c r="V101" s="33"/>
      <c r="W101" s="33"/>
      <c r="X101" s="33"/>
      <c r="Y101" s="21" t="s">
        <v>858</v>
      </c>
      <c r="Z101" s="21"/>
      <c r="AA101" s="21" t="s">
        <v>379</v>
      </c>
      <c r="AB101" s="70"/>
      <c r="AC101" s="22" t="s">
        <v>50</v>
      </c>
      <c r="AD101" s="25" t="s">
        <v>388</v>
      </c>
      <c r="AE101" s="25" t="s">
        <v>16</v>
      </c>
      <c r="AF101" s="25" t="s">
        <v>345</v>
      </c>
      <c r="AG101" s="25" t="s">
        <v>20</v>
      </c>
      <c r="AH101" s="24" t="s">
        <v>858</v>
      </c>
      <c r="AI101" s="24" t="s">
        <v>858</v>
      </c>
      <c r="AJ101" s="60" t="s">
        <v>875</v>
      </c>
      <c r="AK101" s="23" t="s">
        <v>1113</v>
      </c>
      <c r="AL101" s="23"/>
      <c r="AM101" s="44"/>
      <c r="AN101" s="44"/>
      <c r="AO101" s="44"/>
      <c r="AP101" s="44"/>
      <c r="AQ101" s="44"/>
      <c r="AS101" s="44"/>
    </row>
    <row r="102" spans="1:45">
      <c r="AM102" s="44"/>
      <c r="AN102" s="44"/>
      <c r="AO102" s="44"/>
      <c r="AP102" s="44"/>
      <c r="AQ102" s="44"/>
      <c r="AS102" s="44"/>
    </row>
    <row r="104" spans="1:45" ht="16">
      <c r="I104" s="4" t="s">
        <v>1233</v>
      </c>
      <c r="J104" s="41">
        <f>COUNTIFS($J$2:$J$101,"Y",$AJ$2:$AJ$101,"Y")</f>
        <v>43</v>
      </c>
      <c r="AA104" s="56" t="s">
        <v>1160</v>
      </c>
      <c r="AJ104" s="41">
        <f>COUNTIF($AJ$2:$AJ$101,"Y")</f>
        <v>74</v>
      </c>
      <c r="AL104" s="78" t="s">
        <v>1235</v>
      </c>
      <c r="AM104" s="15">
        <f>SUM(AM2:AM95)</f>
        <v>-122107854053.18973</v>
      </c>
      <c r="AN104" s="15">
        <f>SUM(AN2:AN95)</f>
        <v>-138714.47400437432</v>
      </c>
      <c r="AO104" s="15">
        <f>SUM(AO2:AO95)</f>
        <v>-36251777539.828758</v>
      </c>
      <c r="AP104" s="77">
        <f>SUM(AP2:AP95)</f>
        <v>-2082127331966.668</v>
      </c>
      <c r="AQ104" s="15">
        <f>SUM(AQ2:AQ95)</f>
        <v>-2855908915.2339435</v>
      </c>
      <c r="AS104" s="15"/>
    </row>
    <row r="105" spans="1:45" ht="16">
      <c r="I105" s="4" t="s">
        <v>1234</v>
      </c>
      <c r="J105" s="41">
        <f>COUNTIFS($J$2:$J$101,"N",$AJ$2:$AJ$101,"Y")</f>
        <v>31</v>
      </c>
      <c r="AA105" s="56" t="s">
        <v>895</v>
      </c>
      <c r="AJ105" s="41">
        <f>COUNTIF($AJ$2:$AJ$101,"N")</f>
        <v>26</v>
      </c>
      <c r="AL105" s="78" t="s">
        <v>1267</v>
      </c>
      <c r="AM105" s="15">
        <f>SUMIF(J2:J95,"Y",AM2:AM95)</f>
        <v>-104881860956.2011</v>
      </c>
    </row>
    <row r="106" spans="1:45" ht="16">
      <c r="AL106" s="78" t="s">
        <v>1268</v>
      </c>
      <c r="AM106" s="15">
        <f>SUMIF(J2:J95,"N",AM2:AM95)</f>
        <v>-17225993096.988647</v>
      </c>
    </row>
    <row r="107" spans="1:45">
      <c r="I107" s="4" t="s">
        <v>1235</v>
      </c>
      <c r="J107" s="62">
        <f>SUM(J104:J105)</f>
        <v>74</v>
      </c>
      <c r="AA107" s="57" t="s">
        <v>903</v>
      </c>
      <c r="AB107" s="73"/>
      <c r="AC107" s="58"/>
      <c r="AD107" s="58"/>
      <c r="AE107" s="58"/>
      <c r="AF107" s="59"/>
      <c r="AG107" s="59"/>
      <c r="AH107" s="59"/>
      <c r="AI107" s="59"/>
      <c r="AJ107" s="62">
        <f>SUM(AJ104:AJ105)</f>
        <v>100</v>
      </c>
    </row>
  </sheetData>
  <sheetProtection algorithmName="SHA-512" hashValue="LZZL7vaaK1/STLDNjlduoub20Tlc5Gr1YzysGTsz3tfg1uk7W6NIDl8AblyF7AMGREoM1BrqDwBeJTcpYacdAA==" saltValue="mqd2Iu1lIp2Gzm/VkXd2Wg==" spinCount="100000" sheet="1" objects="1" scenarios="1"/>
  <autoFilter ref="A1:AR101" xr:uid="{26B4B61E-4320-E94D-943B-9E3538AAA413}"/>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D6C9B-EC7F-BB4F-B412-C2F0A5FE3807}">
  <dimension ref="A1:DC81"/>
  <sheetViews>
    <sheetView workbookViewId="0">
      <selection activeCell="J43" sqref="J43"/>
    </sheetView>
  </sheetViews>
  <sheetFormatPr baseColWidth="10" defaultRowHeight="15"/>
  <cols>
    <col min="1" max="2" width="10.83203125" style="1"/>
    <col min="5" max="5" width="16.33203125" bestFit="1" customWidth="1"/>
    <col min="54" max="54" width="11.6640625" bestFit="1" customWidth="1"/>
    <col min="61" max="61" width="17.83203125" customWidth="1"/>
  </cols>
  <sheetData>
    <row r="1" spans="1:106">
      <c r="A1"/>
    </row>
    <row r="2" spans="1:106" ht="21">
      <c r="A2" s="53" t="s">
        <v>1211</v>
      </c>
    </row>
    <row r="3" spans="1:106">
      <c r="BB3" s="1"/>
    </row>
    <row r="4" spans="1:106">
      <c r="B4" s="36"/>
      <c r="C4" s="36" t="s">
        <v>882</v>
      </c>
      <c r="D4" s="1" t="s">
        <v>883</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106">
      <c r="C5" s="1" t="s">
        <v>884</v>
      </c>
      <c r="D5" s="1" t="s">
        <v>885</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106">
      <c r="C6" s="1" t="s">
        <v>886</v>
      </c>
      <c r="D6" s="1" t="s">
        <v>887</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106">
      <c r="C7" s="1" t="s">
        <v>888</v>
      </c>
      <c r="D7" s="1" t="s">
        <v>889</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106">
      <c r="C8" s="1" t="s">
        <v>890</v>
      </c>
      <c r="D8" s="1" t="s">
        <v>891</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106">
      <c r="C9" s="1" t="s">
        <v>892</v>
      </c>
      <c r="D9" s="1" t="s">
        <v>893</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106">
      <c r="C10" s="1" t="s">
        <v>894</v>
      </c>
      <c r="D10" s="1" t="s">
        <v>895</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106">
      <c r="C11" s="1" t="s">
        <v>896</v>
      </c>
      <c r="D11" s="1" t="s">
        <v>895</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106">
      <c r="C12" s="1" t="s">
        <v>897</v>
      </c>
      <c r="D12" s="1" t="s">
        <v>895</v>
      </c>
      <c r="E12" s="1"/>
      <c r="F12" s="1"/>
      <c r="G12" s="52" t="s">
        <v>41</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65" t="s">
        <v>16</v>
      </c>
    </row>
    <row r="13" spans="1:106">
      <c r="C13" s="1" t="s">
        <v>898</v>
      </c>
      <c r="D13" s="1" t="s">
        <v>899</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106">
      <c r="C14" s="1" t="s">
        <v>900</v>
      </c>
      <c r="D14" s="1" t="s">
        <v>901</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106">
      <c r="C15" s="1"/>
      <c r="D15" s="1"/>
      <c r="E15" s="1"/>
      <c r="F15" s="1"/>
      <c r="G15" s="43" t="str">
        <f t="shared" ref="G15:AL15" si="0">LEFT(G16,3)</f>
        <v>001</v>
      </c>
      <c r="H15" s="43" t="str">
        <f t="shared" si="0"/>
        <v>002</v>
      </c>
      <c r="I15" s="43" t="str">
        <f t="shared" si="0"/>
        <v>003</v>
      </c>
      <c r="J15" s="43" t="str">
        <f t="shared" si="0"/>
        <v>004</v>
      </c>
      <c r="K15" s="43" t="str">
        <f t="shared" si="0"/>
        <v>005</v>
      </c>
      <c r="L15" s="43" t="str">
        <f t="shared" si="0"/>
        <v>006</v>
      </c>
      <c r="M15" s="43" t="str">
        <f t="shared" si="0"/>
        <v>007</v>
      </c>
      <c r="N15" s="43" t="str">
        <f t="shared" si="0"/>
        <v>008</v>
      </c>
      <c r="O15" s="43" t="str">
        <f t="shared" si="0"/>
        <v>009</v>
      </c>
      <c r="P15" s="43" t="str">
        <f t="shared" si="0"/>
        <v>010</v>
      </c>
      <c r="Q15" s="43" t="str">
        <f t="shared" si="0"/>
        <v>011</v>
      </c>
      <c r="R15" s="43" t="str">
        <f t="shared" si="0"/>
        <v>012</v>
      </c>
      <c r="S15" s="43" t="str">
        <f t="shared" si="0"/>
        <v>013</v>
      </c>
      <c r="T15" s="43" t="str">
        <f t="shared" si="0"/>
        <v>014</v>
      </c>
      <c r="U15" s="43" t="str">
        <f t="shared" si="0"/>
        <v>015</v>
      </c>
      <c r="V15" s="43" t="str">
        <f t="shared" si="0"/>
        <v>016</v>
      </c>
      <c r="W15" s="43" t="str">
        <f t="shared" si="0"/>
        <v>017</v>
      </c>
      <c r="X15" s="43" t="str">
        <f t="shared" si="0"/>
        <v>018</v>
      </c>
      <c r="Y15" s="43" t="str">
        <f t="shared" si="0"/>
        <v>019</v>
      </c>
      <c r="Z15" s="43" t="str">
        <f t="shared" si="0"/>
        <v>020</v>
      </c>
      <c r="AA15" s="43" t="str">
        <f t="shared" si="0"/>
        <v>021</v>
      </c>
      <c r="AB15" s="43" t="str">
        <f t="shared" si="0"/>
        <v>022</v>
      </c>
      <c r="AC15" s="43" t="str">
        <f t="shared" si="0"/>
        <v>023</v>
      </c>
      <c r="AD15" s="43" t="str">
        <f t="shared" si="0"/>
        <v>024</v>
      </c>
      <c r="AE15" s="43" t="str">
        <f t="shared" si="0"/>
        <v>025</v>
      </c>
      <c r="AF15" s="43" t="str">
        <f t="shared" si="0"/>
        <v>026</v>
      </c>
      <c r="AG15" s="43" t="str">
        <f t="shared" si="0"/>
        <v>027</v>
      </c>
      <c r="AH15" s="43" t="str">
        <f t="shared" si="0"/>
        <v>028</v>
      </c>
      <c r="AI15" s="43" t="str">
        <f t="shared" si="0"/>
        <v>029</v>
      </c>
      <c r="AJ15" s="43" t="str">
        <f t="shared" si="0"/>
        <v>030</v>
      </c>
      <c r="AK15" s="43" t="str">
        <f t="shared" si="0"/>
        <v>031</v>
      </c>
      <c r="AL15" s="43" t="str">
        <f t="shared" si="0"/>
        <v>032</v>
      </c>
      <c r="AM15" s="43" t="str">
        <f t="shared" ref="AM15:BQ15" si="1">LEFT(AM16,3)</f>
        <v>033</v>
      </c>
      <c r="AN15" s="43" t="str">
        <f t="shared" si="1"/>
        <v>034</v>
      </c>
      <c r="AO15" s="43" t="str">
        <f t="shared" si="1"/>
        <v>035</v>
      </c>
      <c r="AP15" s="43" t="str">
        <f t="shared" si="1"/>
        <v>036</v>
      </c>
      <c r="AQ15" s="43" t="str">
        <f t="shared" si="1"/>
        <v>037</v>
      </c>
      <c r="AR15" s="43" t="str">
        <f t="shared" si="1"/>
        <v>038</v>
      </c>
      <c r="AS15" s="43" t="str">
        <f t="shared" si="1"/>
        <v>039</v>
      </c>
      <c r="AT15" s="43" t="str">
        <f t="shared" si="1"/>
        <v>040</v>
      </c>
      <c r="AU15" s="43" t="str">
        <f t="shared" si="1"/>
        <v>041</v>
      </c>
      <c r="AV15" s="43" t="str">
        <f t="shared" si="1"/>
        <v>042</v>
      </c>
      <c r="AW15" s="43" t="str">
        <f t="shared" si="1"/>
        <v>043</v>
      </c>
      <c r="AX15" s="43" t="str">
        <f t="shared" si="1"/>
        <v>044</v>
      </c>
      <c r="AY15" s="43" t="str">
        <f t="shared" si="1"/>
        <v>045</v>
      </c>
      <c r="AZ15" s="43" t="str">
        <f t="shared" si="1"/>
        <v>046</v>
      </c>
      <c r="BA15" s="43" t="str">
        <f t="shared" si="1"/>
        <v>047</v>
      </c>
      <c r="BB15" s="66" t="str">
        <f t="shared" si="1"/>
        <v>048</v>
      </c>
      <c r="BC15" s="66" t="str">
        <f t="shared" si="1"/>
        <v>049</v>
      </c>
      <c r="BD15" s="66" t="str">
        <f t="shared" si="1"/>
        <v>050</v>
      </c>
      <c r="BE15" s="66" t="str">
        <f t="shared" si="1"/>
        <v>051</v>
      </c>
      <c r="BF15" s="66" t="str">
        <f t="shared" si="1"/>
        <v>052</v>
      </c>
      <c r="BG15" s="66" t="str">
        <f t="shared" si="1"/>
        <v>053</v>
      </c>
      <c r="BH15" s="66" t="str">
        <f t="shared" si="1"/>
        <v>054</v>
      </c>
      <c r="BI15" s="66" t="str">
        <f t="shared" si="1"/>
        <v>055</v>
      </c>
      <c r="BJ15" s="66" t="str">
        <f t="shared" si="1"/>
        <v>056</v>
      </c>
      <c r="BK15" s="66" t="str">
        <f t="shared" si="1"/>
        <v>057</v>
      </c>
      <c r="BL15" s="66" t="str">
        <f t="shared" si="1"/>
        <v>058</v>
      </c>
      <c r="BM15" s="66" t="str">
        <f t="shared" si="1"/>
        <v>059</v>
      </c>
      <c r="BN15" s="66" t="str">
        <f t="shared" si="1"/>
        <v>060</v>
      </c>
      <c r="BO15" s="66" t="str">
        <f t="shared" si="1"/>
        <v>061</v>
      </c>
      <c r="BP15" s="66" t="str">
        <f t="shared" si="1"/>
        <v>062</v>
      </c>
      <c r="BQ15" s="66" t="str">
        <f t="shared" si="1"/>
        <v>063</v>
      </c>
      <c r="BR15" s="66" t="str">
        <f t="shared" ref="BR15:CW15" si="2">LEFT(BR16,3)</f>
        <v>064</v>
      </c>
      <c r="BS15" s="66" t="str">
        <f t="shared" si="2"/>
        <v>065</v>
      </c>
      <c r="BT15" s="66" t="str">
        <f t="shared" si="2"/>
        <v>066</v>
      </c>
      <c r="BU15" s="66" t="str">
        <f t="shared" si="2"/>
        <v>067</v>
      </c>
      <c r="BV15" s="66" t="str">
        <f t="shared" si="2"/>
        <v>068</v>
      </c>
      <c r="BW15" s="66" t="str">
        <f t="shared" si="2"/>
        <v>069</v>
      </c>
      <c r="BX15" s="66" t="str">
        <f t="shared" si="2"/>
        <v>070</v>
      </c>
      <c r="BY15" s="66" t="str">
        <f t="shared" si="2"/>
        <v>071</v>
      </c>
      <c r="BZ15" s="66" t="str">
        <f t="shared" si="2"/>
        <v>072</v>
      </c>
      <c r="CA15" s="66" t="str">
        <f t="shared" si="2"/>
        <v>073</v>
      </c>
      <c r="CB15" s="66" t="str">
        <f t="shared" si="2"/>
        <v>074</v>
      </c>
      <c r="CC15" s="66" t="str">
        <f t="shared" si="2"/>
        <v>075</v>
      </c>
      <c r="CD15" s="66" t="str">
        <f t="shared" si="2"/>
        <v>076</v>
      </c>
      <c r="CE15" s="66" t="str">
        <f t="shared" si="2"/>
        <v>077</v>
      </c>
      <c r="CF15" s="66" t="str">
        <f t="shared" si="2"/>
        <v>078</v>
      </c>
      <c r="CG15" s="66" t="str">
        <f t="shared" si="2"/>
        <v>079</v>
      </c>
      <c r="CH15" s="66" t="str">
        <f t="shared" si="2"/>
        <v>080</v>
      </c>
      <c r="CI15" s="66" t="str">
        <f t="shared" si="2"/>
        <v>081</v>
      </c>
      <c r="CJ15" s="66" t="str">
        <f t="shared" si="2"/>
        <v>082</v>
      </c>
      <c r="CK15" s="66" t="str">
        <f t="shared" si="2"/>
        <v>083</v>
      </c>
      <c r="CL15" s="66" t="str">
        <f t="shared" si="2"/>
        <v>084</v>
      </c>
      <c r="CM15" s="66" t="str">
        <f t="shared" si="2"/>
        <v>085</v>
      </c>
      <c r="CN15" s="66" t="str">
        <f t="shared" si="2"/>
        <v>086</v>
      </c>
      <c r="CO15" s="66" t="str">
        <f t="shared" si="2"/>
        <v>087</v>
      </c>
      <c r="CP15" s="66" t="str">
        <f t="shared" si="2"/>
        <v>088</v>
      </c>
      <c r="CQ15" s="66" t="str">
        <f t="shared" si="2"/>
        <v>089</v>
      </c>
      <c r="CR15" s="66" t="str">
        <f t="shared" si="2"/>
        <v>090</v>
      </c>
      <c r="CS15" s="66" t="str">
        <f t="shared" si="2"/>
        <v>091</v>
      </c>
      <c r="CT15" s="66" t="str">
        <f t="shared" si="2"/>
        <v>092</v>
      </c>
      <c r="CU15" s="66" t="str">
        <f t="shared" si="2"/>
        <v>093</v>
      </c>
      <c r="CV15" s="66" t="str">
        <f t="shared" si="2"/>
        <v>094</v>
      </c>
      <c r="CW15" s="66" t="str">
        <f t="shared" si="2"/>
        <v>095</v>
      </c>
      <c r="CX15" s="66" t="str">
        <f t="shared" ref="CX15:DB15" si="3">LEFT(CX16,3)</f>
        <v>096</v>
      </c>
      <c r="CY15" s="66" t="str">
        <f t="shared" si="3"/>
        <v>097</v>
      </c>
      <c r="CZ15" s="66" t="str">
        <f t="shared" si="3"/>
        <v>098</v>
      </c>
      <c r="DA15" s="66" t="str">
        <f t="shared" si="3"/>
        <v>099</v>
      </c>
      <c r="DB15" s="66" t="str">
        <f t="shared" si="3"/>
        <v>100</v>
      </c>
    </row>
    <row r="16" spans="1:106">
      <c r="C16" s="1" t="s">
        <v>899</v>
      </c>
      <c r="D16" s="1" t="s">
        <v>902</v>
      </c>
      <c r="E16" s="1" t="s">
        <v>903</v>
      </c>
      <c r="F16" s="1" t="s">
        <v>904</v>
      </c>
      <c r="G16" s="79" t="s">
        <v>1114</v>
      </c>
      <c r="H16" s="76" t="s">
        <v>1115</v>
      </c>
      <c r="I16" s="76" t="s">
        <v>1116</v>
      </c>
      <c r="J16" s="76" t="s">
        <v>1117</v>
      </c>
      <c r="K16" s="79" t="s">
        <v>1118</v>
      </c>
      <c r="L16" s="79" t="s">
        <v>1119</v>
      </c>
      <c r="M16" s="79" t="s">
        <v>1120</v>
      </c>
      <c r="N16" s="76" t="s">
        <v>1121</v>
      </c>
      <c r="O16" s="79" t="s">
        <v>1122</v>
      </c>
      <c r="P16" s="76" t="s">
        <v>1123</v>
      </c>
      <c r="Q16" s="76" t="s">
        <v>1124</v>
      </c>
      <c r="R16" s="76" t="s">
        <v>1125</v>
      </c>
      <c r="S16" s="79" t="s">
        <v>1127</v>
      </c>
      <c r="T16" s="79" t="s">
        <v>1128</v>
      </c>
      <c r="U16" s="79" t="s">
        <v>1129</v>
      </c>
      <c r="V16" s="79" t="s">
        <v>1130</v>
      </c>
      <c r="W16" s="76" t="s">
        <v>1131</v>
      </c>
      <c r="X16" s="76" t="s">
        <v>1256</v>
      </c>
      <c r="Y16" s="79" t="s">
        <v>1132</v>
      </c>
      <c r="Z16" s="79" t="s">
        <v>1133</v>
      </c>
      <c r="AA16" s="76" t="s">
        <v>1134</v>
      </c>
      <c r="AB16" s="76" t="s">
        <v>1135</v>
      </c>
      <c r="AC16" s="76" t="s">
        <v>1126</v>
      </c>
      <c r="AD16" s="76" t="s">
        <v>1240</v>
      </c>
      <c r="AE16" s="76" t="s">
        <v>1257</v>
      </c>
      <c r="AF16" s="79" t="s">
        <v>1136</v>
      </c>
      <c r="AG16" s="79" t="s">
        <v>1137</v>
      </c>
      <c r="AH16" s="76" t="s">
        <v>1138</v>
      </c>
      <c r="AI16" s="76" t="s">
        <v>1139</v>
      </c>
      <c r="AJ16" s="76" t="s">
        <v>1140</v>
      </c>
      <c r="AK16" s="79" t="s">
        <v>1141</v>
      </c>
      <c r="AL16" s="79" t="s">
        <v>1258</v>
      </c>
      <c r="AM16" s="76" t="s">
        <v>1259</v>
      </c>
      <c r="AN16" s="76" t="s">
        <v>1142</v>
      </c>
      <c r="AO16" s="76" t="s">
        <v>1143</v>
      </c>
      <c r="AP16" s="76" t="s">
        <v>1144</v>
      </c>
      <c r="AQ16" s="76" t="s">
        <v>1269</v>
      </c>
      <c r="AR16" s="76" t="s">
        <v>1270</v>
      </c>
      <c r="AS16" s="76" t="s">
        <v>1271</v>
      </c>
      <c r="AT16" s="79" t="s">
        <v>1272</v>
      </c>
      <c r="AU16" s="79" t="s">
        <v>1273</v>
      </c>
      <c r="AV16" s="79" t="s">
        <v>1145</v>
      </c>
      <c r="AW16" s="79" t="s">
        <v>1146</v>
      </c>
      <c r="AX16" s="76" t="s">
        <v>1147</v>
      </c>
      <c r="AY16" s="76" t="s">
        <v>1148</v>
      </c>
      <c r="AZ16" s="79" t="s">
        <v>1149</v>
      </c>
      <c r="BA16" s="76" t="s">
        <v>1150</v>
      </c>
      <c r="BB16" s="76" t="s">
        <v>1162</v>
      </c>
      <c r="BC16" s="76" t="s">
        <v>1212</v>
      </c>
      <c r="BD16" s="76" t="s">
        <v>1206</v>
      </c>
      <c r="BE16" s="76" t="s">
        <v>1163</v>
      </c>
      <c r="BF16" s="76" t="s">
        <v>1164</v>
      </c>
      <c r="BG16" s="76" t="s">
        <v>1165</v>
      </c>
      <c r="BH16" s="76" t="s">
        <v>1166</v>
      </c>
      <c r="BI16" s="76" t="s">
        <v>1167</v>
      </c>
      <c r="BJ16" s="76" t="s">
        <v>1168</v>
      </c>
      <c r="BK16" s="76" t="s">
        <v>1245</v>
      </c>
      <c r="BL16" s="76" t="s">
        <v>1246</v>
      </c>
      <c r="BM16" s="76" t="s">
        <v>1169</v>
      </c>
      <c r="BN16" s="76" t="s">
        <v>1170</v>
      </c>
      <c r="BO16" s="76" t="s">
        <v>1171</v>
      </c>
      <c r="BP16" s="76" t="s">
        <v>1172</v>
      </c>
      <c r="BQ16" s="76" t="s">
        <v>1247</v>
      </c>
      <c r="BR16" s="76" t="s">
        <v>1173</v>
      </c>
      <c r="BS16" s="76" t="s">
        <v>1174</v>
      </c>
      <c r="BT16" s="76" t="s">
        <v>1175</v>
      </c>
      <c r="BU16" s="76" t="s">
        <v>1248</v>
      </c>
      <c r="BV16" s="76" t="s">
        <v>1176</v>
      </c>
      <c r="BW16" s="76" t="s">
        <v>1177</v>
      </c>
      <c r="BX16" s="76" t="s">
        <v>1178</v>
      </c>
      <c r="BY16" s="76" t="s">
        <v>1179</v>
      </c>
      <c r="BZ16" s="76" t="s">
        <v>1180</v>
      </c>
      <c r="CA16" s="76" t="s">
        <v>1181</v>
      </c>
      <c r="CB16" s="76" t="s">
        <v>1182</v>
      </c>
      <c r="CC16" s="76" t="s">
        <v>1183</v>
      </c>
      <c r="CD16" s="76" t="s">
        <v>1249</v>
      </c>
      <c r="CE16" s="76" t="s">
        <v>1184</v>
      </c>
      <c r="CF16" s="76" t="s">
        <v>1185</v>
      </c>
      <c r="CG16" s="76" t="s">
        <v>1186</v>
      </c>
      <c r="CH16" s="76" t="s">
        <v>1250</v>
      </c>
      <c r="CI16" s="76" t="s">
        <v>1187</v>
      </c>
      <c r="CJ16" s="76" t="s">
        <v>1188</v>
      </c>
      <c r="CK16" s="76" t="s">
        <v>1189</v>
      </c>
      <c r="CL16" s="76" t="s">
        <v>1190</v>
      </c>
      <c r="CM16" s="76" t="s">
        <v>1191</v>
      </c>
      <c r="CN16" s="76" t="s">
        <v>1192</v>
      </c>
      <c r="CO16" s="76" t="s">
        <v>1193</v>
      </c>
      <c r="CP16" s="76" t="s">
        <v>1194</v>
      </c>
      <c r="CQ16" s="76" t="s">
        <v>1195</v>
      </c>
      <c r="CR16" s="76" t="s">
        <v>1251</v>
      </c>
      <c r="CS16" s="76" t="s">
        <v>1196</v>
      </c>
      <c r="CT16" s="76" t="s">
        <v>1197</v>
      </c>
      <c r="CU16" s="76" t="s">
        <v>1198</v>
      </c>
      <c r="CV16" s="76" t="s">
        <v>1199</v>
      </c>
      <c r="CW16" s="76" t="s">
        <v>1200</v>
      </c>
      <c r="CX16" s="76" t="s">
        <v>1201</v>
      </c>
      <c r="CY16" s="76" t="s">
        <v>1202</v>
      </c>
      <c r="CZ16" s="76" t="s">
        <v>1203</v>
      </c>
      <c r="DA16" s="76" t="s">
        <v>1204</v>
      </c>
      <c r="DB16" s="76" t="s">
        <v>1205</v>
      </c>
    </row>
    <row r="17" spans="1:106">
      <c r="C17" s="1" t="s">
        <v>905</v>
      </c>
      <c r="D17" s="1" t="s">
        <v>906</v>
      </c>
      <c r="E17" s="64">
        <f>SUM(G17:DB17)</f>
        <v>-120100221317.77031</v>
      </c>
      <c r="F17" s="1">
        <v>0</v>
      </c>
      <c r="G17" s="79">
        <v>-232752450</v>
      </c>
      <c r="H17" s="79">
        <v>-9975492100</v>
      </c>
      <c r="I17" s="79">
        <v>-126083270</v>
      </c>
      <c r="J17" s="76">
        <v>-43827163</v>
      </c>
      <c r="K17" s="79">
        <v>-649798940</v>
      </c>
      <c r="L17" s="79">
        <v>-13144752</v>
      </c>
      <c r="M17" s="79">
        <v>-713619.91</v>
      </c>
      <c r="N17" s="76">
        <v>-16533600</v>
      </c>
      <c r="O17" s="79">
        <v>-334086640</v>
      </c>
      <c r="P17" s="79">
        <v>-1367028900</v>
      </c>
      <c r="Q17" s="79">
        <v>-2697612800</v>
      </c>
      <c r="R17" s="76">
        <v>-43827163</v>
      </c>
      <c r="S17" s="79">
        <v>-27424781</v>
      </c>
      <c r="T17" s="79">
        <v>-8954822.5999999996</v>
      </c>
      <c r="U17" s="79">
        <v>-1076170.7</v>
      </c>
      <c r="V17" s="79">
        <v>-4309203.3</v>
      </c>
      <c r="W17" s="79">
        <v>-7400146300</v>
      </c>
      <c r="X17" s="76">
        <v>-16468603</v>
      </c>
      <c r="Y17" s="79">
        <v>-5017853100</v>
      </c>
      <c r="Z17" s="79">
        <v>-16533600</v>
      </c>
      <c r="AA17" s="76">
        <v>-28150812</v>
      </c>
      <c r="AB17" s="76">
        <v>-1749857.6</v>
      </c>
      <c r="AC17" s="79">
        <v>-12587570000</v>
      </c>
      <c r="AD17" s="76">
        <v>-91949234</v>
      </c>
      <c r="AE17" s="76">
        <v>-75096509</v>
      </c>
      <c r="AF17" s="79">
        <v>-12210810</v>
      </c>
      <c r="AG17" s="79">
        <v>0</v>
      </c>
      <c r="AH17" s="76">
        <v>0</v>
      </c>
      <c r="AI17" s="76">
        <v>0</v>
      </c>
      <c r="AJ17" s="79">
        <v>-3897024600</v>
      </c>
      <c r="AK17" s="79">
        <v>0</v>
      </c>
      <c r="AL17" s="79">
        <v>-672445060</v>
      </c>
      <c r="AM17" s="79">
        <v>-12677727000</v>
      </c>
      <c r="AN17" s="76">
        <v>-1443872.2</v>
      </c>
      <c r="AO17" s="79">
        <v>-208857200</v>
      </c>
      <c r="AP17" s="76">
        <v>-3918203.1</v>
      </c>
      <c r="AQ17" s="79">
        <v>-964903520</v>
      </c>
      <c r="AR17" s="79">
        <v>-101243560</v>
      </c>
      <c r="AS17" s="76">
        <v>-9514.3520000000008</v>
      </c>
      <c r="AT17" s="79">
        <v>-638857290</v>
      </c>
      <c r="AU17" s="79">
        <v>-863864720</v>
      </c>
      <c r="AV17" s="79">
        <v>0</v>
      </c>
      <c r="AW17" s="79">
        <v>0</v>
      </c>
      <c r="AX17" s="79">
        <v>-17810741000</v>
      </c>
      <c r="AY17" s="79">
        <v>-845542710</v>
      </c>
      <c r="AZ17" s="79">
        <v>-766094980</v>
      </c>
      <c r="BA17" s="79">
        <v>-14942388000</v>
      </c>
      <c r="BB17" s="76">
        <v>-61123974</v>
      </c>
      <c r="BC17" s="79">
        <v>-1805427800</v>
      </c>
      <c r="BD17" s="79">
        <v>-9707267000</v>
      </c>
      <c r="BE17" s="76">
        <v>-4874532.0999999996</v>
      </c>
      <c r="BF17" s="76">
        <v>-38021.213000000003</v>
      </c>
      <c r="BG17" s="79">
        <v>-106050560</v>
      </c>
      <c r="BH17" s="79">
        <v>-165282610</v>
      </c>
      <c r="BI17" s="76">
        <v>-9309.6471999999994</v>
      </c>
      <c r="BJ17" s="76">
        <v>-16608637</v>
      </c>
      <c r="BK17" s="76">
        <v>-26977096</v>
      </c>
      <c r="BL17" s="79">
        <v>-658873640</v>
      </c>
      <c r="BM17" s="76">
        <v>-1535.7366</v>
      </c>
      <c r="BN17" s="76">
        <v>-16099095</v>
      </c>
      <c r="BO17" s="79">
        <v>-4889209700</v>
      </c>
      <c r="BP17" s="79">
        <v>-4889209700</v>
      </c>
      <c r="BQ17" s="76">
        <v>3260879.4</v>
      </c>
      <c r="BR17" s="76">
        <v>-103632.39</v>
      </c>
      <c r="BS17" s="76">
        <v>-54788.642999999996</v>
      </c>
      <c r="BT17" s="79">
        <v>-2023883300</v>
      </c>
      <c r="BU17" s="76">
        <v>-43042567</v>
      </c>
      <c r="BV17" s="76">
        <v>0</v>
      </c>
      <c r="BW17" s="76">
        <v>0</v>
      </c>
      <c r="BX17" s="76">
        <v>0</v>
      </c>
      <c r="BY17" s="76">
        <v>0</v>
      </c>
      <c r="BZ17" s="76">
        <v>0</v>
      </c>
      <c r="CA17" s="76">
        <v>-26596084</v>
      </c>
      <c r="CB17" s="76">
        <v>0</v>
      </c>
      <c r="CC17" s="76">
        <v>0</v>
      </c>
      <c r="CD17" s="76">
        <v>0</v>
      </c>
      <c r="CE17" s="76">
        <v>0</v>
      </c>
      <c r="CF17" s="76">
        <v>0</v>
      </c>
      <c r="CG17" s="76">
        <v>0</v>
      </c>
      <c r="CH17" s="76">
        <v>-33430058</v>
      </c>
      <c r="CI17" s="76">
        <v>0</v>
      </c>
      <c r="CJ17" s="76">
        <v>0</v>
      </c>
      <c r="CK17" s="76">
        <v>0</v>
      </c>
      <c r="CL17" s="76">
        <v>0</v>
      </c>
      <c r="CM17" s="76">
        <v>0</v>
      </c>
      <c r="CN17" s="76">
        <v>-42.643732</v>
      </c>
      <c r="CO17" s="76">
        <v>0</v>
      </c>
      <c r="CP17" s="76">
        <v>0</v>
      </c>
      <c r="CQ17" s="76">
        <v>-0.61773630999999996</v>
      </c>
      <c r="CR17" s="79">
        <v>-145510350</v>
      </c>
      <c r="CS17" s="79">
        <v>-145510350</v>
      </c>
      <c r="CT17" s="79">
        <v>-152838090</v>
      </c>
      <c r="CU17" s="76">
        <v>0</v>
      </c>
      <c r="CV17" s="76">
        <v>0</v>
      </c>
      <c r="CW17" s="76">
        <v>-96.125927000000004</v>
      </c>
      <c r="CX17" s="76">
        <v>0</v>
      </c>
      <c r="CY17" s="76">
        <v>-102.40599</v>
      </c>
      <c r="CZ17" s="76">
        <v>0</v>
      </c>
      <c r="DA17" s="76">
        <v>-3093.8851</v>
      </c>
      <c r="DB17" s="76">
        <v>0</v>
      </c>
    </row>
    <row r="18" spans="1:106">
      <c r="C18" s="1" t="s">
        <v>907</v>
      </c>
      <c r="D18" s="1" t="s">
        <v>906</v>
      </c>
      <c r="E18" s="64">
        <f t="shared" ref="E18:E25" si="4">SUM(G18:DB18)</f>
        <v>-122107857275.62842</v>
      </c>
      <c r="F18" s="1">
        <v>0</v>
      </c>
      <c r="G18" s="79">
        <v>-267634600</v>
      </c>
      <c r="H18" s="79">
        <v>-10010534000</v>
      </c>
      <c r="I18" s="79">
        <v>-126775460</v>
      </c>
      <c r="J18" s="76">
        <v>-44467283</v>
      </c>
      <c r="K18" s="79">
        <v>-654785280</v>
      </c>
      <c r="L18" s="76">
        <v>-13309202</v>
      </c>
      <c r="M18" s="79">
        <v>-821991.1</v>
      </c>
      <c r="N18" s="79">
        <v>-16775083</v>
      </c>
      <c r="O18" s="79">
        <v>-336269680</v>
      </c>
      <c r="P18" s="79">
        <v>-1393841600</v>
      </c>
      <c r="Q18" s="79">
        <v>-2750523300</v>
      </c>
      <c r="R18" s="76">
        <v>-44467283</v>
      </c>
      <c r="S18" s="76">
        <v>-27825336</v>
      </c>
      <c r="T18" s="76">
        <v>-9011406.5</v>
      </c>
      <c r="U18" s="79">
        <v>-1086106.5</v>
      </c>
      <c r="V18" s="76">
        <v>-4297804.7</v>
      </c>
      <c r="W18" s="79">
        <v>-7496613500</v>
      </c>
      <c r="X18" s="76">
        <v>-16556957</v>
      </c>
      <c r="Y18" s="79">
        <v>-5041695900</v>
      </c>
      <c r="Z18" s="76">
        <v>-16775083</v>
      </c>
      <c r="AA18" s="79">
        <v>-28333806</v>
      </c>
      <c r="AB18" s="76">
        <v>-1767716.3</v>
      </c>
      <c r="AC18" s="79">
        <v>-13201569000</v>
      </c>
      <c r="AD18" s="76">
        <v>-96388848</v>
      </c>
      <c r="AE18" s="76">
        <v>-78722417</v>
      </c>
      <c r="AF18" s="76">
        <v>-12276931</v>
      </c>
      <c r="AG18" s="76">
        <v>0</v>
      </c>
      <c r="AH18" s="79">
        <v>0</v>
      </c>
      <c r="AI18" s="76">
        <v>0</v>
      </c>
      <c r="AJ18" s="79">
        <v>-3902277400</v>
      </c>
      <c r="AK18" s="79">
        <v>0</v>
      </c>
      <c r="AL18" s="79">
        <v>-680707140</v>
      </c>
      <c r="AM18" s="79">
        <v>-12833494000</v>
      </c>
      <c r="AN18" s="76">
        <v>-1659704.7</v>
      </c>
      <c r="AO18" s="79">
        <v>-240077530</v>
      </c>
      <c r="AP18" s="76">
        <v>-4594285.0999999996</v>
      </c>
      <c r="AQ18" s="79">
        <v>-972684410</v>
      </c>
      <c r="AR18" s="79">
        <v>-107372510</v>
      </c>
      <c r="AS18" s="76">
        <v>-9536.0080999999991</v>
      </c>
      <c r="AT18" s="79">
        <v>-640694650</v>
      </c>
      <c r="AU18" s="79">
        <v>-873509150</v>
      </c>
      <c r="AV18" s="79">
        <v>0</v>
      </c>
      <c r="AW18" s="79">
        <v>0</v>
      </c>
      <c r="AX18" s="79">
        <v>-17850755000</v>
      </c>
      <c r="AY18" s="79">
        <v>-847467280</v>
      </c>
      <c r="AZ18" s="79">
        <v>-774547240</v>
      </c>
      <c r="BA18" s="79">
        <v>-14980281000</v>
      </c>
      <c r="BB18" s="76">
        <v>-61604123</v>
      </c>
      <c r="BC18" s="79">
        <v>-1892599900</v>
      </c>
      <c r="BD18" s="79">
        <v>-10224519000</v>
      </c>
      <c r="BE18" s="76">
        <v>-4998581.5</v>
      </c>
      <c r="BF18" s="76">
        <v>-38688.093000000001</v>
      </c>
      <c r="BG18" s="79">
        <v>-110097770</v>
      </c>
      <c r="BH18" s="79">
        <v>-171590290</v>
      </c>
      <c r="BI18" s="76">
        <v>-9341.6833999999999</v>
      </c>
      <c r="BJ18" s="76">
        <v>-17410557</v>
      </c>
      <c r="BK18" s="76">
        <v>-28279639</v>
      </c>
      <c r="BL18" s="79">
        <v>-690686250</v>
      </c>
      <c r="BM18" s="76">
        <v>-1550.4975999999999</v>
      </c>
      <c r="BN18" s="76">
        <v>-17086973</v>
      </c>
      <c r="BO18" s="79">
        <v>-4953541300</v>
      </c>
      <c r="BP18" s="79">
        <v>-4953541300</v>
      </c>
      <c r="BQ18" s="76">
        <v>3323338</v>
      </c>
      <c r="BR18" s="76">
        <v>-104955.23</v>
      </c>
      <c r="BS18" s="76">
        <v>-55547.326999999997</v>
      </c>
      <c r="BT18" s="79">
        <v>-2027589200</v>
      </c>
      <c r="BU18" s="76">
        <v>-43295843</v>
      </c>
      <c r="BV18" s="76">
        <v>0</v>
      </c>
      <c r="BW18" s="76">
        <v>0</v>
      </c>
      <c r="BX18" s="76">
        <v>0</v>
      </c>
      <c r="BY18" s="76">
        <v>0</v>
      </c>
      <c r="BZ18" s="76">
        <v>0</v>
      </c>
      <c r="CA18" s="76">
        <v>-26732411</v>
      </c>
      <c r="CB18" s="76">
        <v>0</v>
      </c>
      <c r="CC18" s="76">
        <v>0</v>
      </c>
      <c r="CD18" s="76">
        <v>0</v>
      </c>
      <c r="CE18" s="76">
        <v>0</v>
      </c>
      <c r="CF18" s="76">
        <v>0</v>
      </c>
      <c r="CG18" s="76">
        <v>0</v>
      </c>
      <c r="CH18" s="76">
        <v>-33642159</v>
      </c>
      <c r="CI18" s="76">
        <v>0</v>
      </c>
      <c r="CJ18" s="76">
        <v>0</v>
      </c>
      <c r="CK18" s="76">
        <v>0</v>
      </c>
      <c r="CL18" s="76">
        <v>0</v>
      </c>
      <c r="CM18" s="76">
        <v>0</v>
      </c>
      <c r="CN18" s="76">
        <v>-43.227426000000001</v>
      </c>
      <c r="CO18" s="76">
        <v>0</v>
      </c>
      <c r="CP18" s="76">
        <v>0</v>
      </c>
      <c r="CQ18" s="76">
        <v>-0.62322025999999997</v>
      </c>
      <c r="CR18" s="79">
        <v>-147424950</v>
      </c>
      <c r="CS18" s="79">
        <v>-147424950</v>
      </c>
      <c r="CT18" s="79">
        <v>-155645560</v>
      </c>
      <c r="CU18" s="76">
        <v>0</v>
      </c>
      <c r="CV18" s="76">
        <v>0</v>
      </c>
      <c r="CW18" s="76">
        <v>-96.344723999999999</v>
      </c>
      <c r="CX18" s="76">
        <v>0</v>
      </c>
      <c r="CY18" s="76">
        <v>-103.34344</v>
      </c>
      <c r="CZ18" s="76">
        <v>0</v>
      </c>
      <c r="DA18" s="76">
        <v>-3120.8505</v>
      </c>
      <c r="DB18" s="76">
        <v>0</v>
      </c>
    </row>
    <row r="19" spans="1:106">
      <c r="A19" s="52">
        <f>ROW()-14</f>
        <v>5</v>
      </c>
      <c r="B19" s="52" t="s">
        <v>966</v>
      </c>
      <c r="C19" s="1" t="s">
        <v>908</v>
      </c>
      <c r="D19" s="1" t="s">
        <v>906</v>
      </c>
      <c r="E19" s="64">
        <f t="shared" si="4"/>
        <v>-122107857373.72839</v>
      </c>
      <c r="F19" s="1">
        <v>0</v>
      </c>
      <c r="G19" s="79">
        <v>-267634600</v>
      </c>
      <c r="H19" s="79">
        <v>-10010534000</v>
      </c>
      <c r="I19" s="79">
        <v>-126775460</v>
      </c>
      <c r="J19" s="76">
        <v>-44467283</v>
      </c>
      <c r="K19" s="79">
        <v>-654785280</v>
      </c>
      <c r="L19" s="79">
        <v>-13309202</v>
      </c>
      <c r="M19" s="79">
        <v>-821991.1</v>
      </c>
      <c r="N19" s="79">
        <v>-16775083</v>
      </c>
      <c r="O19" s="79">
        <v>-336269680</v>
      </c>
      <c r="P19" s="79">
        <v>-1393841600</v>
      </c>
      <c r="Q19" s="79">
        <v>-2750523300</v>
      </c>
      <c r="R19" s="76">
        <v>-44467283</v>
      </c>
      <c r="S19" s="79">
        <v>-27825336</v>
      </c>
      <c r="T19" s="79">
        <v>-9011406.5999999996</v>
      </c>
      <c r="U19" s="79">
        <v>-1086106.5</v>
      </c>
      <c r="V19" s="79">
        <v>-4297804.7</v>
      </c>
      <c r="W19" s="79">
        <v>-7496613500</v>
      </c>
      <c r="X19" s="76">
        <v>-16556957</v>
      </c>
      <c r="Y19" s="79">
        <v>-5041695900</v>
      </c>
      <c r="Z19" s="79">
        <v>-16775083</v>
      </c>
      <c r="AA19" s="79">
        <v>-28333812</v>
      </c>
      <c r="AB19" s="76">
        <v>-1767716.3</v>
      </c>
      <c r="AC19" s="79">
        <v>-13201569000</v>
      </c>
      <c r="AD19" s="76">
        <v>-96388848</v>
      </c>
      <c r="AE19" s="76">
        <v>-78722417</v>
      </c>
      <c r="AF19" s="79">
        <v>-12276932</v>
      </c>
      <c r="AG19" s="79">
        <v>0</v>
      </c>
      <c r="AH19" s="79">
        <v>0</v>
      </c>
      <c r="AI19" s="76">
        <v>0</v>
      </c>
      <c r="AJ19" s="79">
        <v>-3902277400</v>
      </c>
      <c r="AK19" s="79">
        <v>0</v>
      </c>
      <c r="AL19" s="79">
        <v>-680707140</v>
      </c>
      <c r="AM19" s="79">
        <v>-12833494000</v>
      </c>
      <c r="AN19" s="76">
        <v>-1659704.7</v>
      </c>
      <c r="AO19" s="79">
        <v>-240077530</v>
      </c>
      <c r="AP19" s="76">
        <v>-4594285.0999999996</v>
      </c>
      <c r="AQ19" s="79">
        <v>-972684440</v>
      </c>
      <c r="AR19" s="79">
        <v>-107372510</v>
      </c>
      <c r="AS19" s="76">
        <v>-9536.0080999999991</v>
      </c>
      <c r="AT19" s="79">
        <v>-640694670</v>
      </c>
      <c r="AU19" s="79">
        <v>-873509180</v>
      </c>
      <c r="AV19" s="79">
        <v>0</v>
      </c>
      <c r="AW19" s="79">
        <v>0</v>
      </c>
      <c r="AX19" s="79">
        <v>-17850755000</v>
      </c>
      <c r="AY19" s="79">
        <v>-847467290</v>
      </c>
      <c r="AZ19" s="79">
        <v>-774547240</v>
      </c>
      <c r="BA19" s="79">
        <v>-14980281000</v>
      </c>
      <c r="BB19" s="76">
        <v>-61604124</v>
      </c>
      <c r="BC19" s="79">
        <v>-1892599900</v>
      </c>
      <c r="BD19" s="79">
        <v>-10224519000</v>
      </c>
      <c r="BE19" s="76">
        <v>-4998581.5</v>
      </c>
      <c r="BF19" s="76">
        <v>-38688.093000000001</v>
      </c>
      <c r="BG19" s="79">
        <v>-110097770</v>
      </c>
      <c r="BH19" s="79">
        <v>-171590290</v>
      </c>
      <c r="BI19" s="76">
        <v>-9341.6833999999999</v>
      </c>
      <c r="BJ19" s="76">
        <v>-17410557</v>
      </c>
      <c r="BK19" s="76">
        <v>-28279639</v>
      </c>
      <c r="BL19" s="79">
        <v>-690686250</v>
      </c>
      <c r="BM19" s="76">
        <v>-1550.4975999999999</v>
      </c>
      <c r="BN19" s="76">
        <v>-17086973</v>
      </c>
      <c r="BO19" s="79">
        <v>-4953541300</v>
      </c>
      <c r="BP19" s="79">
        <v>-4953541300</v>
      </c>
      <c r="BQ19" s="76">
        <v>3323338</v>
      </c>
      <c r="BR19" s="76">
        <v>-104955.23</v>
      </c>
      <c r="BS19" s="76">
        <v>-55547.326999999997</v>
      </c>
      <c r="BT19" s="79">
        <v>-2027589200</v>
      </c>
      <c r="BU19" s="76">
        <v>-43295843</v>
      </c>
      <c r="BV19" s="76">
        <v>0</v>
      </c>
      <c r="BW19" s="76">
        <v>0</v>
      </c>
      <c r="BX19" s="76">
        <v>0</v>
      </c>
      <c r="BY19" s="76">
        <v>0</v>
      </c>
      <c r="BZ19" s="76">
        <v>0</v>
      </c>
      <c r="CA19" s="76">
        <v>-26732411</v>
      </c>
      <c r="CB19" s="76">
        <v>0</v>
      </c>
      <c r="CC19" s="76">
        <v>0</v>
      </c>
      <c r="CD19" s="76">
        <v>0</v>
      </c>
      <c r="CE19" s="76">
        <v>0</v>
      </c>
      <c r="CF19" s="76">
        <v>0</v>
      </c>
      <c r="CG19" s="76">
        <v>0</v>
      </c>
      <c r="CH19" s="76">
        <v>-33642159</v>
      </c>
      <c r="CI19" s="76">
        <v>0</v>
      </c>
      <c r="CJ19" s="76">
        <v>0</v>
      </c>
      <c r="CK19" s="76">
        <v>0</v>
      </c>
      <c r="CL19" s="76">
        <v>0</v>
      </c>
      <c r="CM19" s="76">
        <v>0</v>
      </c>
      <c r="CN19" s="76">
        <v>-43.227426000000001</v>
      </c>
      <c r="CO19" s="76">
        <v>0</v>
      </c>
      <c r="CP19" s="76">
        <v>0</v>
      </c>
      <c r="CQ19" s="76">
        <v>-0.62322025999999997</v>
      </c>
      <c r="CR19" s="79">
        <v>-147424950</v>
      </c>
      <c r="CS19" s="79">
        <v>-147424950</v>
      </c>
      <c r="CT19" s="79">
        <v>-155645560</v>
      </c>
      <c r="CU19" s="76">
        <v>0</v>
      </c>
      <c r="CV19" s="76">
        <v>0</v>
      </c>
      <c r="CW19" s="76">
        <v>-96.344723999999999</v>
      </c>
      <c r="CX19" s="76">
        <v>0</v>
      </c>
      <c r="CY19" s="76">
        <v>-103.34344</v>
      </c>
      <c r="CZ19" s="76">
        <v>0</v>
      </c>
      <c r="DA19" s="76">
        <v>-3120.8505</v>
      </c>
      <c r="DB19" s="76">
        <v>0</v>
      </c>
    </row>
    <row r="20" spans="1:106">
      <c r="A20" s="52">
        <f>ROW()-14</f>
        <v>6</v>
      </c>
      <c r="B20" s="52" t="s">
        <v>909</v>
      </c>
      <c r="C20" s="1" t="s">
        <v>909</v>
      </c>
      <c r="D20" s="1" t="s">
        <v>910</v>
      </c>
      <c r="E20" s="64">
        <f>SUM(G20:DB20)</f>
        <v>-138714.47570372626</v>
      </c>
      <c r="F20" s="1">
        <v>0</v>
      </c>
      <c r="G20" s="79">
        <v>-736.97343000000001</v>
      </c>
      <c r="H20" s="79">
        <v>-5119.4973</v>
      </c>
      <c r="I20" s="79">
        <v>-640.70159000000001</v>
      </c>
      <c r="J20" s="79">
        <v>-55.224908999999997</v>
      </c>
      <c r="K20" s="79">
        <v>-298.90257000000003</v>
      </c>
      <c r="L20" s="79">
        <v>-27.445159</v>
      </c>
      <c r="M20" s="79">
        <v>-0.68598464000000003</v>
      </c>
      <c r="N20" s="79">
        <v>-20.833348999999998</v>
      </c>
      <c r="O20" s="79">
        <v>-280.42720000000003</v>
      </c>
      <c r="P20" s="79">
        <v>-1788.6013</v>
      </c>
      <c r="Q20" s="79">
        <v>-3529.5185000000001</v>
      </c>
      <c r="R20" s="76">
        <v>-55.224908999999997</v>
      </c>
      <c r="S20" s="79">
        <v>-34.556904000000003</v>
      </c>
      <c r="T20" s="79">
        <v>-56.061954</v>
      </c>
      <c r="U20" s="79">
        <v>-6.7820745999999996</v>
      </c>
      <c r="V20" s="79">
        <v>-139.95343</v>
      </c>
      <c r="W20" s="79">
        <v>-12315.214</v>
      </c>
      <c r="X20" s="79">
        <v>-244.89227</v>
      </c>
      <c r="Y20" s="79">
        <v>-2991.0196999999998</v>
      </c>
      <c r="Z20" s="79">
        <v>-20.833348999999998</v>
      </c>
      <c r="AA20" s="79">
        <v>-24.491246</v>
      </c>
      <c r="AB20" s="79">
        <v>-7.24857</v>
      </c>
      <c r="AC20" s="79">
        <v>-15059.264999999999</v>
      </c>
      <c r="AD20" s="76">
        <v>-39.966813999999999</v>
      </c>
      <c r="AE20" s="76">
        <v>-32.641579</v>
      </c>
      <c r="AF20" s="79">
        <v>-33.291727000000002</v>
      </c>
      <c r="AG20" s="79">
        <v>0</v>
      </c>
      <c r="AH20" s="79">
        <v>0</v>
      </c>
      <c r="AI20" s="76">
        <v>0</v>
      </c>
      <c r="AJ20" s="79">
        <v>-1106.6469999999999</v>
      </c>
      <c r="AK20" s="79">
        <v>0</v>
      </c>
      <c r="AL20" s="79">
        <v>-1019.4015000000001</v>
      </c>
      <c r="AM20" s="79">
        <v>-19218.96</v>
      </c>
      <c r="AN20" s="76">
        <v>-1.6552327</v>
      </c>
      <c r="AO20" s="76">
        <v>-239.43065000000001</v>
      </c>
      <c r="AP20" s="76">
        <v>-1.0336318</v>
      </c>
      <c r="AQ20" s="76">
        <v>-2233.3658999999998</v>
      </c>
      <c r="AR20" s="76">
        <v>-109.3612</v>
      </c>
      <c r="AS20" s="76">
        <v>-5.7167106000000001E-3</v>
      </c>
      <c r="AT20" s="79">
        <v>-1543.9922999999999</v>
      </c>
      <c r="AU20" s="79">
        <v>-1958.5001999999999</v>
      </c>
      <c r="AV20" s="79">
        <v>0</v>
      </c>
      <c r="AW20" s="79">
        <v>0</v>
      </c>
      <c r="AX20" s="79">
        <v>-4620.0348999999997</v>
      </c>
      <c r="AY20" s="79">
        <v>-508.04541999999998</v>
      </c>
      <c r="AZ20" s="76">
        <v>-95.377217999999999</v>
      </c>
      <c r="BA20" s="79">
        <v>-29514.518</v>
      </c>
      <c r="BB20" s="76">
        <v>-3809.5268000000001</v>
      </c>
      <c r="BC20" s="76">
        <v>-784.75039000000004</v>
      </c>
      <c r="BD20" s="76">
        <v>-9451.5169999999998</v>
      </c>
      <c r="BE20" s="76">
        <v>-2.2620575000000001</v>
      </c>
      <c r="BF20" s="76">
        <v>-0.18054476</v>
      </c>
      <c r="BG20" s="76">
        <v>-804.60463000000004</v>
      </c>
      <c r="BH20" s="76">
        <v>-1253.9975999999999</v>
      </c>
      <c r="BI20" s="76">
        <v>-5.0390458999999997E-3</v>
      </c>
      <c r="BJ20" s="76">
        <v>-7.2191390000000002</v>
      </c>
      <c r="BK20" s="76">
        <v>-11.725911</v>
      </c>
      <c r="BL20" s="76">
        <v>-286.38715999999999</v>
      </c>
      <c r="BM20" s="76">
        <v>-2.5233855999999999E-2</v>
      </c>
      <c r="BN20" s="76">
        <v>-43.917231000000001</v>
      </c>
      <c r="BO20" s="76">
        <v>-7682.3348999999998</v>
      </c>
      <c r="BP20" s="76">
        <v>-7682.3348999999998</v>
      </c>
      <c r="BQ20" s="76">
        <v>9.4462367999999994</v>
      </c>
      <c r="BR20" s="76">
        <v>-1.7474578999999999</v>
      </c>
      <c r="BS20" s="76">
        <v>-1.071334E-2</v>
      </c>
      <c r="BT20" s="76">
        <v>-434.21735999999999</v>
      </c>
      <c r="BU20" s="76">
        <v>-34.346575999999999</v>
      </c>
      <c r="BV20" s="76">
        <v>0</v>
      </c>
      <c r="BW20" s="76">
        <v>0</v>
      </c>
      <c r="BX20" s="76">
        <v>0</v>
      </c>
      <c r="BY20" s="76">
        <v>0</v>
      </c>
      <c r="BZ20" s="76">
        <v>0</v>
      </c>
      <c r="CA20" s="76">
        <v>-12.660269</v>
      </c>
      <c r="CB20" s="76">
        <v>0</v>
      </c>
      <c r="CC20" s="76">
        <v>0</v>
      </c>
      <c r="CD20" s="76">
        <v>0</v>
      </c>
      <c r="CE20" s="76">
        <v>0</v>
      </c>
      <c r="CF20" s="76">
        <v>0</v>
      </c>
      <c r="CG20" s="76">
        <v>0</v>
      </c>
      <c r="CH20" s="76">
        <v>-30.109172999999998</v>
      </c>
      <c r="CI20" s="76">
        <v>0</v>
      </c>
      <c r="CJ20" s="76">
        <v>0</v>
      </c>
      <c r="CK20" s="76">
        <v>0</v>
      </c>
      <c r="CL20" s="76">
        <v>0</v>
      </c>
      <c r="CM20" s="76">
        <v>0</v>
      </c>
      <c r="CN20" s="79">
        <v>-4.2591350999999999E-5</v>
      </c>
      <c r="CO20" s="76">
        <v>0</v>
      </c>
      <c r="CP20" s="76">
        <v>0</v>
      </c>
      <c r="CQ20" s="79">
        <v>-1.5730448999999998E-5</v>
      </c>
      <c r="CR20" s="76">
        <v>-228.63802000000001</v>
      </c>
      <c r="CS20" s="76">
        <v>-228.63802000000001</v>
      </c>
      <c r="CT20" s="76">
        <v>-202.18037000000001</v>
      </c>
      <c r="CU20" s="76">
        <v>0</v>
      </c>
      <c r="CV20" s="76">
        <v>0</v>
      </c>
      <c r="CW20" s="79">
        <v>-5.7757387000000001E-5</v>
      </c>
      <c r="CX20" s="76">
        <v>0</v>
      </c>
      <c r="CY20" s="79">
        <v>-3.1290127999999997E-5</v>
      </c>
      <c r="CZ20" s="76">
        <v>0</v>
      </c>
      <c r="DA20" s="76">
        <v>-1.6103044E-3</v>
      </c>
      <c r="DB20" s="76">
        <v>0</v>
      </c>
    </row>
    <row r="21" spans="1:106">
      <c r="A21" s="52">
        <f>ROW()-14</f>
        <v>7</v>
      </c>
      <c r="B21" s="52" t="s">
        <v>911</v>
      </c>
      <c r="C21" s="1" t="s">
        <v>911</v>
      </c>
      <c r="D21" s="1" t="s">
        <v>912</v>
      </c>
      <c r="E21" s="64">
        <f t="shared" si="4"/>
        <v>-36251778152.938614</v>
      </c>
      <c r="F21" s="1">
        <v>0</v>
      </c>
      <c r="G21" s="76">
        <v>-63436589</v>
      </c>
      <c r="H21" s="79">
        <v>-3014204400</v>
      </c>
      <c r="I21" s="79">
        <v>-153481360</v>
      </c>
      <c r="J21" s="76">
        <v>-24095060</v>
      </c>
      <c r="K21" s="79">
        <v>-105422790</v>
      </c>
      <c r="L21" s="76">
        <v>-10784602</v>
      </c>
      <c r="M21" s="76">
        <v>-144249.04</v>
      </c>
      <c r="N21" s="76">
        <v>-9089753</v>
      </c>
      <c r="O21" s="79">
        <v>-62051898</v>
      </c>
      <c r="P21" s="79">
        <v>-398934180</v>
      </c>
      <c r="Q21" s="79">
        <v>-787232770</v>
      </c>
      <c r="R21" s="76">
        <v>-24095060</v>
      </c>
      <c r="S21" s="79">
        <v>-15077447</v>
      </c>
      <c r="T21" s="79">
        <v>-13607333</v>
      </c>
      <c r="U21" s="76">
        <v>-1062190.8</v>
      </c>
      <c r="V21" s="76">
        <v>-30942968</v>
      </c>
      <c r="W21" s="79">
        <v>-8138684400</v>
      </c>
      <c r="X21" s="76">
        <v>-59764167</v>
      </c>
      <c r="Y21" s="79">
        <v>-1467892500</v>
      </c>
      <c r="Z21" s="79">
        <v>-9089753</v>
      </c>
      <c r="AA21" s="76">
        <v>-10349157</v>
      </c>
      <c r="AB21" s="76">
        <v>-1272860.3</v>
      </c>
      <c r="AC21" s="79">
        <v>-2936777200</v>
      </c>
      <c r="AD21" s="76">
        <v>-8288040.2000000002</v>
      </c>
      <c r="AE21" s="76">
        <v>-6768983.7999999998</v>
      </c>
      <c r="AF21" s="76">
        <v>-22313367</v>
      </c>
      <c r="AG21" s="76">
        <v>0</v>
      </c>
      <c r="AH21" s="76">
        <v>0</v>
      </c>
      <c r="AI21" s="76">
        <v>0</v>
      </c>
      <c r="AJ21" s="79">
        <v>-314565040</v>
      </c>
      <c r="AK21" s="76">
        <v>0</v>
      </c>
      <c r="AL21" s="79">
        <v>-178148130</v>
      </c>
      <c r="AM21" s="79">
        <v>-3358658500</v>
      </c>
      <c r="AN21" s="76">
        <v>-325321.45</v>
      </c>
      <c r="AO21" s="76">
        <v>-47057992</v>
      </c>
      <c r="AP21" s="76">
        <v>-656495.13</v>
      </c>
      <c r="AQ21" s="79">
        <v>-1847710400</v>
      </c>
      <c r="AR21" s="76">
        <v>-17870066</v>
      </c>
      <c r="AS21" s="76">
        <v>-1134.6132</v>
      </c>
      <c r="AT21" s="79">
        <v>-1271831800</v>
      </c>
      <c r="AU21" s="79">
        <v>-1769317200</v>
      </c>
      <c r="AV21" s="76">
        <v>0</v>
      </c>
      <c r="AW21" s="79">
        <v>0</v>
      </c>
      <c r="AX21" s="79">
        <v>-1526884300</v>
      </c>
      <c r="AY21" s="79">
        <v>-100833340</v>
      </c>
      <c r="AZ21" s="76">
        <v>-15531131</v>
      </c>
      <c r="BA21" s="79">
        <v>-2337009600</v>
      </c>
      <c r="BB21" s="79">
        <v>-149551700</v>
      </c>
      <c r="BC21" s="79">
        <v>-162736080</v>
      </c>
      <c r="BD21" s="79">
        <v>-1195999900</v>
      </c>
      <c r="BE21" s="76">
        <v>-334880.09000000003</v>
      </c>
      <c r="BF21" s="76">
        <v>-155601.88</v>
      </c>
      <c r="BG21" s="76">
        <v>-81044672</v>
      </c>
      <c r="BH21" s="79">
        <v>-126310270</v>
      </c>
      <c r="BI21" s="76">
        <v>-650.63753999999994</v>
      </c>
      <c r="BJ21" s="76">
        <v>-1497054.9</v>
      </c>
      <c r="BK21" s="76">
        <v>-2431638</v>
      </c>
      <c r="BL21" s="76">
        <v>-59388980</v>
      </c>
      <c r="BM21" s="76">
        <v>-4408.7965999999997</v>
      </c>
      <c r="BN21" s="76">
        <v>-6548107.5</v>
      </c>
      <c r="BO21" s="79">
        <v>-2002798500</v>
      </c>
      <c r="BP21" s="79">
        <v>-2002798500</v>
      </c>
      <c r="BQ21" s="76">
        <v>2677038.5</v>
      </c>
      <c r="BR21" s="76">
        <v>-405782.07</v>
      </c>
      <c r="BS21" s="76">
        <v>-778.58537000000001</v>
      </c>
      <c r="BT21" s="76">
        <v>-76283168</v>
      </c>
      <c r="BU21" s="76">
        <v>-9028622.8000000007</v>
      </c>
      <c r="BV21" s="76">
        <v>0</v>
      </c>
      <c r="BW21" s="76">
        <v>0</v>
      </c>
      <c r="BX21" s="76">
        <v>0</v>
      </c>
      <c r="BY21" s="76">
        <v>0</v>
      </c>
      <c r="BZ21" s="76">
        <v>0</v>
      </c>
      <c r="CA21" s="76">
        <v>-4009303.1</v>
      </c>
      <c r="CB21" s="76">
        <v>0</v>
      </c>
      <c r="CC21" s="76">
        <v>0</v>
      </c>
      <c r="CD21" s="76">
        <v>0</v>
      </c>
      <c r="CE21" s="76">
        <v>0</v>
      </c>
      <c r="CF21" s="76">
        <v>0</v>
      </c>
      <c r="CG21" s="76">
        <v>0</v>
      </c>
      <c r="CH21" s="76">
        <v>-5836165.5999999996</v>
      </c>
      <c r="CI21" s="76">
        <v>0</v>
      </c>
      <c r="CJ21" s="76">
        <v>0</v>
      </c>
      <c r="CK21" s="76">
        <v>0</v>
      </c>
      <c r="CL21" s="76">
        <v>0</v>
      </c>
      <c r="CM21" s="76">
        <v>0</v>
      </c>
      <c r="CN21" s="76">
        <v>-20.329751000000002</v>
      </c>
      <c r="CO21" s="76">
        <v>0</v>
      </c>
      <c r="CP21" s="76">
        <v>0</v>
      </c>
      <c r="CQ21" s="76">
        <v>-5.7062875999999996</v>
      </c>
      <c r="CR21" s="76">
        <v>-59606340</v>
      </c>
      <c r="CS21" s="76">
        <v>-59606340</v>
      </c>
      <c r="CT21" s="76">
        <v>-86813580</v>
      </c>
      <c r="CU21" s="76">
        <v>0</v>
      </c>
      <c r="CV21" s="76">
        <v>0</v>
      </c>
      <c r="CW21" s="76">
        <v>-11.463286</v>
      </c>
      <c r="CX21" s="76">
        <v>0</v>
      </c>
      <c r="CY21" s="76">
        <v>-9.4146858000000009</v>
      </c>
      <c r="CZ21" s="76">
        <v>0</v>
      </c>
      <c r="DA21" s="76">
        <v>-592.23188000000005</v>
      </c>
      <c r="DB21" s="76">
        <v>0</v>
      </c>
    </row>
    <row r="22" spans="1:106">
      <c r="A22" s="52">
        <f>ROW()-14</f>
        <v>8</v>
      </c>
      <c r="B22" s="52" t="s">
        <v>913</v>
      </c>
      <c r="C22" s="1" t="s">
        <v>913</v>
      </c>
      <c r="D22" s="1" t="s">
        <v>914</v>
      </c>
      <c r="E22" s="64">
        <f t="shared" si="4"/>
        <v>-2082127402186.355</v>
      </c>
      <c r="F22" s="1">
        <v>0</v>
      </c>
      <c r="G22" s="79">
        <v>-14065594000</v>
      </c>
      <c r="H22" s="79">
        <v>-72080234000</v>
      </c>
      <c r="I22" s="79">
        <v>-2546866600</v>
      </c>
      <c r="J22" s="79">
        <v>-651766320</v>
      </c>
      <c r="K22" s="79">
        <v>-3396080800</v>
      </c>
      <c r="L22" s="79">
        <v>-208030610</v>
      </c>
      <c r="M22" s="76">
        <v>-43395390</v>
      </c>
      <c r="N22" s="79">
        <v>-245875920</v>
      </c>
      <c r="O22" s="79">
        <v>-3269935800</v>
      </c>
      <c r="P22" s="79">
        <v>-17114936000</v>
      </c>
      <c r="Q22" s="79">
        <v>-33773588000</v>
      </c>
      <c r="R22" s="79">
        <v>-651766320</v>
      </c>
      <c r="S22" s="79">
        <v>-407841800</v>
      </c>
      <c r="T22" s="79">
        <v>-432058750</v>
      </c>
      <c r="U22" s="79">
        <v>-21332963</v>
      </c>
      <c r="V22" s="76">
        <v>-82922322</v>
      </c>
      <c r="W22" s="79">
        <v>-119967390000</v>
      </c>
      <c r="X22" s="79">
        <v>-367852000</v>
      </c>
      <c r="Y22" s="79">
        <v>-41413106000</v>
      </c>
      <c r="Z22" s="79">
        <v>-245875920</v>
      </c>
      <c r="AA22" s="79">
        <v>-278076030</v>
      </c>
      <c r="AB22" s="76">
        <v>-28721048</v>
      </c>
      <c r="AC22" s="79">
        <v>-63603778000</v>
      </c>
      <c r="AD22" s="79">
        <v>-3446385900</v>
      </c>
      <c r="AE22" s="79">
        <v>-2814722200</v>
      </c>
      <c r="AF22" s="79">
        <v>-295621090</v>
      </c>
      <c r="AG22" s="76">
        <v>0</v>
      </c>
      <c r="AH22" s="79">
        <v>0</v>
      </c>
      <c r="AI22" s="76">
        <v>0</v>
      </c>
      <c r="AJ22" s="79">
        <v>-19913455000</v>
      </c>
      <c r="AK22" s="79">
        <v>0</v>
      </c>
      <c r="AL22" s="79">
        <v>-9870443200</v>
      </c>
      <c r="AM22" s="79">
        <v>-186089230000</v>
      </c>
      <c r="AN22" s="76">
        <v>-86941270</v>
      </c>
      <c r="AO22" s="79">
        <v>-12576120000</v>
      </c>
      <c r="AP22" s="79">
        <v>-268674970</v>
      </c>
      <c r="AQ22" s="79">
        <v>-18170066000</v>
      </c>
      <c r="AR22" s="79">
        <v>-39056128000</v>
      </c>
      <c r="AS22" s="76">
        <v>-144907.78</v>
      </c>
      <c r="AT22" s="79">
        <v>-11743284000</v>
      </c>
      <c r="AU22" s="79">
        <v>-17025142000</v>
      </c>
      <c r="AV22" s="79">
        <v>0</v>
      </c>
      <c r="AW22" s="79">
        <v>0</v>
      </c>
      <c r="AX22" s="79">
        <v>-274610380000</v>
      </c>
      <c r="AY22" s="79">
        <v>-12877988000</v>
      </c>
      <c r="AZ22" s="79">
        <v>-14564805000</v>
      </c>
      <c r="BA22" s="79">
        <v>-229767160000</v>
      </c>
      <c r="BB22" s="79">
        <v>-1211772600</v>
      </c>
      <c r="BC22" s="79">
        <v>-67669960000</v>
      </c>
      <c r="BD22" s="79">
        <v>-553951520000</v>
      </c>
      <c r="BE22" s="76">
        <v>-49503758</v>
      </c>
      <c r="BF22" s="76">
        <v>-436825.8</v>
      </c>
      <c r="BG22" s="79">
        <v>-7526784100</v>
      </c>
      <c r="BH22" s="79">
        <v>-11730693000</v>
      </c>
      <c r="BI22" s="76">
        <v>-44804.224999999999</v>
      </c>
      <c r="BJ22" s="79">
        <v>-622514940</v>
      </c>
      <c r="BK22" s="79">
        <v>-1011139300</v>
      </c>
      <c r="BL22" s="79">
        <v>-24695506000</v>
      </c>
      <c r="BM22" s="76">
        <v>-20308.73</v>
      </c>
      <c r="BN22" s="79">
        <v>-2075919200</v>
      </c>
      <c r="BO22" s="79">
        <v>-78071597000</v>
      </c>
      <c r="BP22" s="79">
        <v>-78071597000</v>
      </c>
      <c r="BQ22" s="76">
        <v>45002321</v>
      </c>
      <c r="BR22" s="76">
        <v>-977787.9</v>
      </c>
      <c r="BS22" s="76">
        <v>-734455.65</v>
      </c>
      <c r="BT22" s="79">
        <v>-3530963400</v>
      </c>
      <c r="BU22" s="79">
        <v>-400383890</v>
      </c>
      <c r="BV22" s="76">
        <v>0</v>
      </c>
      <c r="BW22" s="76">
        <v>0</v>
      </c>
      <c r="BX22" s="76">
        <v>0</v>
      </c>
      <c r="BY22" s="76">
        <v>0</v>
      </c>
      <c r="BZ22" s="76">
        <v>0</v>
      </c>
      <c r="CA22" s="79">
        <v>-168421970</v>
      </c>
      <c r="CB22" s="76">
        <v>0</v>
      </c>
      <c r="CC22" s="76">
        <v>0</v>
      </c>
      <c r="CD22" s="76">
        <v>0</v>
      </c>
      <c r="CE22" s="76">
        <v>0</v>
      </c>
      <c r="CF22" s="76">
        <v>0</v>
      </c>
      <c r="CG22" s="76">
        <v>0</v>
      </c>
      <c r="CH22" s="79">
        <v>-316450340</v>
      </c>
      <c r="CI22" s="76">
        <v>0</v>
      </c>
      <c r="CJ22" s="76">
        <v>0</v>
      </c>
      <c r="CK22" s="76">
        <v>0</v>
      </c>
      <c r="CL22" s="76">
        <v>0</v>
      </c>
      <c r="CM22" s="76">
        <v>0</v>
      </c>
      <c r="CN22" s="76">
        <v>-669.34866999999997</v>
      </c>
      <c r="CO22" s="76">
        <v>0</v>
      </c>
      <c r="CP22" s="76">
        <v>0</v>
      </c>
      <c r="CQ22" s="76">
        <v>-7.2343776999999996</v>
      </c>
      <c r="CR22" s="79">
        <v>-2323529900</v>
      </c>
      <c r="CS22" s="79">
        <v>-2323529900</v>
      </c>
      <c r="CT22" s="79">
        <v>-18344617000</v>
      </c>
      <c r="CU22" s="76">
        <v>0</v>
      </c>
      <c r="CV22" s="76">
        <v>0</v>
      </c>
      <c r="CW22" s="76">
        <v>-1464.0402999999999</v>
      </c>
      <c r="CX22" s="76">
        <v>0</v>
      </c>
      <c r="CY22" s="76">
        <v>-1567.7967000000001</v>
      </c>
      <c r="CZ22" s="76">
        <v>0</v>
      </c>
      <c r="DA22" s="76">
        <v>-67187.850000000006</v>
      </c>
      <c r="DB22" s="76">
        <v>0</v>
      </c>
    </row>
    <row r="23" spans="1:106">
      <c r="A23" s="52">
        <v>9</v>
      </c>
      <c r="B23" s="52" t="s">
        <v>1239</v>
      </c>
      <c r="C23" s="1" t="s">
        <v>915</v>
      </c>
      <c r="D23" s="1" t="s">
        <v>916</v>
      </c>
      <c r="E23" s="64">
        <f t="shared" si="4"/>
        <v>-2855908981.0908313</v>
      </c>
      <c r="F23" s="1">
        <v>0</v>
      </c>
      <c r="G23" s="79">
        <v>-4443907.2</v>
      </c>
      <c r="H23" s="79">
        <v>-97873247</v>
      </c>
      <c r="I23" s="79">
        <v>-3487882.6</v>
      </c>
      <c r="J23" s="79">
        <v>-4376505.9000000004</v>
      </c>
      <c r="K23" s="76">
        <v>-16664554</v>
      </c>
      <c r="L23" s="79">
        <v>-1710604.6</v>
      </c>
      <c r="M23" s="79">
        <v>-13272.504999999999</v>
      </c>
      <c r="N23" s="79">
        <v>-1651017.2</v>
      </c>
      <c r="O23" s="79">
        <v>-6369779</v>
      </c>
      <c r="P23" s="79">
        <v>-45377228</v>
      </c>
      <c r="Q23" s="79">
        <v>-89544699</v>
      </c>
      <c r="R23" s="79">
        <v>-4376505.9000000004</v>
      </c>
      <c r="S23" s="76">
        <v>-2738592</v>
      </c>
      <c r="T23" s="76">
        <v>-379918.12</v>
      </c>
      <c r="U23" s="79">
        <v>-103125.92</v>
      </c>
      <c r="V23" s="79">
        <v>-124140.43</v>
      </c>
      <c r="W23" s="79">
        <v>-241540440</v>
      </c>
      <c r="X23" s="79">
        <v>-629174.18999999994</v>
      </c>
      <c r="Y23" s="79">
        <v>-59605356</v>
      </c>
      <c r="Z23" s="76">
        <v>-1651017.2</v>
      </c>
      <c r="AA23" s="79">
        <v>-1607133.4</v>
      </c>
      <c r="AB23" s="79">
        <v>-130910.28</v>
      </c>
      <c r="AC23" s="79">
        <v>-191136960</v>
      </c>
      <c r="AD23" s="79">
        <v>-6837333</v>
      </c>
      <c r="AE23" s="76">
        <v>-5584166.5999999996</v>
      </c>
      <c r="AF23" s="76">
        <v>-722748.95</v>
      </c>
      <c r="AG23" s="76">
        <v>0</v>
      </c>
      <c r="AH23" s="79">
        <v>0</v>
      </c>
      <c r="AI23" s="76">
        <v>0</v>
      </c>
      <c r="AJ23" s="79">
        <v>-17178820</v>
      </c>
      <c r="AK23" s="79">
        <v>0</v>
      </c>
      <c r="AL23" s="76">
        <v>-19247897</v>
      </c>
      <c r="AM23" s="79">
        <v>-362884040</v>
      </c>
      <c r="AN23" s="79">
        <v>-27507.355</v>
      </c>
      <c r="AO23" s="76">
        <v>-3978959.6</v>
      </c>
      <c r="AP23" s="76">
        <v>-48734.211000000003</v>
      </c>
      <c r="AQ23" s="76">
        <v>-95861919</v>
      </c>
      <c r="AR23" s="76">
        <v>-18224047</v>
      </c>
      <c r="AS23" s="76">
        <v>-50.290056</v>
      </c>
      <c r="AT23" s="76">
        <v>-62523224</v>
      </c>
      <c r="AU23" s="76">
        <v>-90804325</v>
      </c>
      <c r="AV23" s="79">
        <v>0</v>
      </c>
      <c r="AW23" s="79">
        <v>0</v>
      </c>
      <c r="AX23" s="79">
        <v>-107598850</v>
      </c>
      <c r="AY23" s="79">
        <v>-4469289.0999999996</v>
      </c>
      <c r="AZ23" s="79">
        <v>-15407852</v>
      </c>
      <c r="BA23" s="79">
        <v>-101192520</v>
      </c>
      <c r="BB23" s="76">
        <v>-2386462.9</v>
      </c>
      <c r="BC23" s="79">
        <v>-134251380</v>
      </c>
      <c r="BD23" s="79">
        <v>-464334270</v>
      </c>
      <c r="BE23" s="76">
        <v>-8979.35</v>
      </c>
      <c r="BF23" s="76">
        <v>-1945.4119000000001</v>
      </c>
      <c r="BG23" s="76">
        <v>-72587192</v>
      </c>
      <c r="BH23" s="79">
        <v>-113129060</v>
      </c>
      <c r="BI23" s="76">
        <v>-379.46276</v>
      </c>
      <c r="BJ23" s="76">
        <v>-1235016.1000000001</v>
      </c>
      <c r="BK23" s="76">
        <v>-2006013.3</v>
      </c>
      <c r="BL23" s="76">
        <v>-48993758</v>
      </c>
      <c r="BM23" s="76">
        <v>-105.31694</v>
      </c>
      <c r="BN23" s="76">
        <v>-333161.09000000003</v>
      </c>
      <c r="BO23" s="79">
        <v>-145000010</v>
      </c>
      <c r="BP23" s="79">
        <v>-145000010</v>
      </c>
      <c r="BQ23" s="76">
        <v>216970.87</v>
      </c>
      <c r="BR23" s="76">
        <v>-3831.2519000000002</v>
      </c>
      <c r="BS23" s="76">
        <v>-900.82056999999998</v>
      </c>
      <c r="BT23" s="76">
        <v>-22081641</v>
      </c>
      <c r="BU23" s="76">
        <v>-622135.68000000005</v>
      </c>
      <c r="BV23" s="76">
        <v>0</v>
      </c>
      <c r="BW23" s="76">
        <v>0</v>
      </c>
      <c r="BX23" s="76">
        <v>0</v>
      </c>
      <c r="BY23" s="76">
        <v>0</v>
      </c>
      <c r="BZ23" s="76">
        <v>0</v>
      </c>
      <c r="CA23" s="76">
        <v>-1311848</v>
      </c>
      <c r="CB23" s="76">
        <v>0</v>
      </c>
      <c r="CC23" s="76">
        <v>0</v>
      </c>
      <c r="CD23" s="76">
        <v>0</v>
      </c>
      <c r="CE23" s="76">
        <v>0</v>
      </c>
      <c r="CF23" s="76">
        <v>0</v>
      </c>
      <c r="CG23" s="76">
        <v>0</v>
      </c>
      <c r="CH23" s="76">
        <v>-562579.09</v>
      </c>
      <c r="CI23" s="76">
        <v>0</v>
      </c>
      <c r="CJ23" s="76">
        <v>0</v>
      </c>
      <c r="CK23" s="76">
        <v>0</v>
      </c>
      <c r="CL23" s="76">
        <v>0</v>
      </c>
      <c r="CM23" s="76">
        <v>0</v>
      </c>
      <c r="CN23" s="76">
        <v>-3.4199009</v>
      </c>
      <c r="CO23" s="76">
        <v>0</v>
      </c>
      <c r="CP23" s="76">
        <v>0</v>
      </c>
      <c r="CQ23" s="76">
        <v>-5.8916575999999998E-2</v>
      </c>
      <c r="CR23" s="76">
        <v>-4315421.7</v>
      </c>
      <c r="CS23" s="76">
        <v>-4315421.7</v>
      </c>
      <c r="CT23" s="76">
        <v>-5516106.9000000004</v>
      </c>
      <c r="CU23" s="76">
        <v>0</v>
      </c>
      <c r="CV23" s="76">
        <v>0</v>
      </c>
      <c r="CW23" s="76">
        <v>-0.50809327000000004</v>
      </c>
      <c r="CX23" s="76">
        <v>0</v>
      </c>
      <c r="CY23" s="76">
        <v>-1.0794022999999999</v>
      </c>
      <c r="CZ23" s="76">
        <v>0</v>
      </c>
      <c r="DA23" s="76">
        <v>-64.269391999999996</v>
      </c>
      <c r="DB23" s="76">
        <v>0</v>
      </c>
    </row>
    <row r="24" spans="1:106">
      <c r="A24" s="52"/>
      <c r="B24" s="52" t="s">
        <v>917</v>
      </c>
      <c r="C24" s="1" t="s">
        <v>917</v>
      </c>
      <c r="D24" s="1" t="s">
        <v>916</v>
      </c>
      <c r="E24" s="64">
        <f t="shared" si="4"/>
        <v>-491025095.70642918</v>
      </c>
      <c r="F24" s="1">
        <v>0</v>
      </c>
      <c r="G24" s="76">
        <v>-595778.57999999996</v>
      </c>
      <c r="H24" s="76">
        <v>-9819142.5</v>
      </c>
      <c r="I24" s="76">
        <v>-249304.44</v>
      </c>
      <c r="J24" s="76">
        <v>-987354.42</v>
      </c>
      <c r="K24" s="76">
        <v>-3286797.1</v>
      </c>
      <c r="L24" s="76">
        <v>-262170.15999999997</v>
      </c>
      <c r="M24" s="76">
        <v>-1830.6668</v>
      </c>
      <c r="N24" s="76">
        <v>-372475.02</v>
      </c>
      <c r="O24" s="76">
        <v>-380124.5</v>
      </c>
      <c r="P24" s="76">
        <v>-8101622.2999999998</v>
      </c>
      <c r="Q24" s="76">
        <v>-15987255</v>
      </c>
      <c r="R24" s="76">
        <v>-987354.42</v>
      </c>
      <c r="S24" s="76">
        <v>-617835.55000000005</v>
      </c>
      <c r="T24" s="76">
        <v>-82083.123000000007</v>
      </c>
      <c r="U24" s="79">
        <v>-2753.0589</v>
      </c>
      <c r="V24" s="76">
        <v>-13810.822</v>
      </c>
      <c r="W24" s="76">
        <v>-26002638</v>
      </c>
      <c r="X24" s="76">
        <v>-47055.72</v>
      </c>
      <c r="Y24" s="76">
        <v>-6547449.5</v>
      </c>
      <c r="Z24" s="76">
        <v>-372475.02</v>
      </c>
      <c r="AA24" s="79">
        <v>-327575.7</v>
      </c>
      <c r="AB24" s="76">
        <v>-3631.2001</v>
      </c>
      <c r="AC24" s="76">
        <v>-29693250</v>
      </c>
      <c r="AD24" s="76">
        <v>-1860663</v>
      </c>
      <c r="AE24" s="76">
        <v>-1519635.2</v>
      </c>
      <c r="AF24" s="76">
        <v>-134911.88</v>
      </c>
      <c r="AG24" s="76">
        <v>0</v>
      </c>
      <c r="AH24" s="76">
        <v>0</v>
      </c>
      <c r="AI24" s="76">
        <v>0</v>
      </c>
      <c r="AJ24" s="76">
        <v>-1576570</v>
      </c>
      <c r="AK24" s="79">
        <v>0</v>
      </c>
      <c r="AL24" s="76">
        <v>-2165270.7999999998</v>
      </c>
      <c r="AM24" s="76">
        <v>-40822239</v>
      </c>
      <c r="AN24" s="76">
        <v>-3706.0464000000002</v>
      </c>
      <c r="AO24" s="76">
        <v>-536082.4</v>
      </c>
      <c r="AP24" s="76">
        <v>-5673.4035000000003</v>
      </c>
      <c r="AQ24" s="76">
        <v>-38775813</v>
      </c>
      <c r="AR24" s="76">
        <v>-2365302.2000000002</v>
      </c>
      <c r="AS24" s="76">
        <v>-4.0553591999999998</v>
      </c>
      <c r="AT24" s="76">
        <v>-21021558</v>
      </c>
      <c r="AU24" s="76">
        <v>-29362054</v>
      </c>
      <c r="AV24" s="79">
        <v>0</v>
      </c>
      <c r="AW24" s="76">
        <v>0</v>
      </c>
      <c r="AX24" s="76">
        <v>-8802901.0999999996</v>
      </c>
      <c r="AY24" s="79">
        <v>-360400.73</v>
      </c>
      <c r="AZ24" s="79">
        <v>-345243.3</v>
      </c>
      <c r="BA24" s="79">
        <v>-10775325</v>
      </c>
      <c r="BB24" s="76">
        <v>-176735.76</v>
      </c>
      <c r="BC24" s="76">
        <v>-36534210</v>
      </c>
      <c r="BD24" s="76">
        <v>-64139643</v>
      </c>
      <c r="BE24" s="76">
        <v>-1045.3329000000001</v>
      </c>
      <c r="BF24" s="76">
        <v>-313.17192</v>
      </c>
      <c r="BG24" s="76">
        <v>-26604021</v>
      </c>
      <c r="BH24" s="76">
        <v>-41463072</v>
      </c>
      <c r="BI24" s="76">
        <v>-126.8137</v>
      </c>
      <c r="BJ24" s="76">
        <v>-336088.45</v>
      </c>
      <c r="BK24" s="76">
        <v>-545902.13</v>
      </c>
      <c r="BL24" s="76">
        <v>-13332811</v>
      </c>
      <c r="BM24" s="76">
        <v>-10.336034</v>
      </c>
      <c r="BN24" s="76">
        <v>-26949.411</v>
      </c>
      <c r="BO24" s="76">
        <v>-17765411</v>
      </c>
      <c r="BP24" s="76">
        <v>-17765411</v>
      </c>
      <c r="BQ24" s="76">
        <v>28800.373</v>
      </c>
      <c r="BR24" s="76">
        <v>-589.77121999999997</v>
      </c>
      <c r="BS24" s="76">
        <v>-347.78156999999999</v>
      </c>
      <c r="BT24" s="76">
        <v>-5303462.8</v>
      </c>
      <c r="BU24" s="76">
        <v>-70581.712</v>
      </c>
      <c r="BV24" s="76">
        <v>0</v>
      </c>
      <c r="BW24" s="76">
        <v>0</v>
      </c>
      <c r="BX24" s="76">
        <v>0</v>
      </c>
      <c r="BY24" s="76">
        <v>0</v>
      </c>
      <c r="BZ24" s="76">
        <v>0</v>
      </c>
      <c r="CA24" s="76">
        <v>-241877.32</v>
      </c>
      <c r="CB24" s="76">
        <v>0</v>
      </c>
      <c r="CC24" s="76">
        <v>0</v>
      </c>
      <c r="CD24" s="76">
        <v>0</v>
      </c>
      <c r="CE24" s="76">
        <v>0</v>
      </c>
      <c r="CF24" s="76">
        <v>0</v>
      </c>
      <c r="CG24" s="76">
        <v>0</v>
      </c>
      <c r="CH24" s="76">
        <v>-60653.669000000002</v>
      </c>
      <c r="CI24" s="76">
        <v>0</v>
      </c>
      <c r="CJ24" s="76">
        <v>0</v>
      </c>
      <c r="CK24" s="76">
        <v>0</v>
      </c>
      <c r="CL24" s="76">
        <v>0</v>
      </c>
      <c r="CM24" s="76">
        <v>0</v>
      </c>
      <c r="CN24" s="76">
        <v>-0.29769748000000001</v>
      </c>
      <c r="CO24" s="76">
        <v>0</v>
      </c>
      <c r="CP24" s="76">
        <v>0</v>
      </c>
      <c r="CQ24" s="76">
        <v>-8.4965261000000004E-3</v>
      </c>
      <c r="CR24" s="76">
        <v>-528725.74</v>
      </c>
      <c r="CS24" s="76">
        <v>-528725.74</v>
      </c>
      <c r="CT24" s="76">
        <v>-452050.04</v>
      </c>
      <c r="CU24" s="76">
        <v>0</v>
      </c>
      <c r="CV24" s="76">
        <v>0</v>
      </c>
      <c r="CW24" s="76">
        <v>-4.0972330000000001E-2</v>
      </c>
      <c r="CX24" s="76">
        <v>0</v>
      </c>
      <c r="CY24" s="76">
        <v>-8.2791535999999999E-2</v>
      </c>
      <c r="CZ24" s="76">
        <v>0</v>
      </c>
      <c r="DA24" s="76">
        <v>-10.754068</v>
      </c>
      <c r="DB24" s="76">
        <v>0</v>
      </c>
    </row>
    <row r="25" spans="1:106">
      <c r="A25" s="52"/>
      <c r="B25" s="52" t="s">
        <v>918</v>
      </c>
      <c r="C25" s="1" t="s">
        <v>918</v>
      </c>
      <c r="D25" s="1" t="s">
        <v>916</v>
      </c>
      <c r="E25" s="64">
        <f t="shared" si="4"/>
        <v>-679510117.38100493</v>
      </c>
      <c r="F25" s="1">
        <v>0</v>
      </c>
      <c r="G25" s="76">
        <v>-758258.52</v>
      </c>
      <c r="H25" s="76">
        <v>-26296272</v>
      </c>
      <c r="I25" s="76">
        <v>-1648477.1</v>
      </c>
      <c r="J25" s="76">
        <v>-1178385.8999999999</v>
      </c>
      <c r="K25" s="76">
        <v>-3655853</v>
      </c>
      <c r="L25" s="76">
        <v>-318869.58</v>
      </c>
      <c r="M25" s="76">
        <v>-1961.3394000000001</v>
      </c>
      <c r="N25" s="76">
        <v>-444540.79</v>
      </c>
      <c r="O25" s="76">
        <v>-542431.1</v>
      </c>
      <c r="P25" s="76">
        <v>-9074072.3000000007</v>
      </c>
      <c r="Q25" s="76">
        <v>-17906230</v>
      </c>
      <c r="R25" s="76">
        <v>-1178385.8999999999</v>
      </c>
      <c r="S25" s="76">
        <v>-737373.21</v>
      </c>
      <c r="T25" s="76">
        <v>-193226.03</v>
      </c>
      <c r="U25" s="76">
        <v>-80786.342000000004</v>
      </c>
      <c r="V25" s="76">
        <v>-37745.457000000002</v>
      </c>
      <c r="W25" s="76">
        <v>-76207942</v>
      </c>
      <c r="X25" s="76">
        <v>-301130.99</v>
      </c>
      <c r="Y25" s="76">
        <v>-14380033</v>
      </c>
      <c r="Z25" s="76">
        <v>-444540.79</v>
      </c>
      <c r="AA25" s="76">
        <v>-387687.44</v>
      </c>
      <c r="AB25" s="76">
        <v>-88055.364000000001</v>
      </c>
      <c r="AC25" s="76">
        <v>-32642722</v>
      </c>
      <c r="AD25" s="76">
        <v>-1930932.1</v>
      </c>
      <c r="AE25" s="76">
        <v>-1577025.2</v>
      </c>
      <c r="AF25" s="76">
        <v>-376524.69</v>
      </c>
      <c r="AG25" s="76">
        <v>0</v>
      </c>
      <c r="AH25" s="76">
        <v>0</v>
      </c>
      <c r="AI25" s="76">
        <v>0</v>
      </c>
      <c r="AJ25" s="76">
        <v>-4279274</v>
      </c>
      <c r="AK25" s="76">
        <v>0</v>
      </c>
      <c r="AL25" s="76">
        <v>-5128788</v>
      </c>
      <c r="AM25" s="76">
        <v>-96693959</v>
      </c>
      <c r="AN25" s="76">
        <v>-4535.0023000000001</v>
      </c>
      <c r="AO25" s="76">
        <v>-655991.49</v>
      </c>
      <c r="AP25" s="76">
        <v>-6180.7431999999999</v>
      </c>
      <c r="AQ25" s="76">
        <v>-17649847</v>
      </c>
      <c r="AR25" s="76">
        <v>-2464146.4</v>
      </c>
      <c r="AS25" s="76">
        <v>-18.568068</v>
      </c>
      <c r="AT25" s="76">
        <v>-12833069</v>
      </c>
      <c r="AU25" s="76">
        <v>-18566827</v>
      </c>
      <c r="AV25" s="76">
        <v>0</v>
      </c>
      <c r="AW25" s="76">
        <v>0</v>
      </c>
      <c r="AX25" s="76">
        <v>-36481759</v>
      </c>
      <c r="AY25" s="76">
        <v>-1650148.6</v>
      </c>
      <c r="AZ25" s="76">
        <v>-395159.3</v>
      </c>
      <c r="BA25" s="79">
        <v>-32938829</v>
      </c>
      <c r="BB25" s="76">
        <v>-884572.67</v>
      </c>
      <c r="BC25" s="76">
        <v>-37913949</v>
      </c>
      <c r="BD25" s="76">
        <v>-66538270</v>
      </c>
      <c r="BE25" s="76">
        <v>-1138.8109999999999</v>
      </c>
      <c r="BF25" s="76">
        <v>-372.05327999999997</v>
      </c>
      <c r="BG25" s="76">
        <v>-26984019</v>
      </c>
      <c r="BH25" s="76">
        <v>-42055310</v>
      </c>
      <c r="BI25" s="79">
        <v>-129.61722</v>
      </c>
      <c r="BJ25" s="76">
        <v>-348781.05</v>
      </c>
      <c r="BK25" s="76">
        <v>-566518.49</v>
      </c>
      <c r="BL25" s="76">
        <v>-13836334</v>
      </c>
      <c r="BM25" s="76">
        <v>-17.611084000000002</v>
      </c>
      <c r="BN25" s="76">
        <v>-125502.72</v>
      </c>
      <c r="BO25" s="76">
        <v>-28994527</v>
      </c>
      <c r="BP25" s="76">
        <v>-28994527</v>
      </c>
      <c r="BQ25" s="76">
        <v>28953.742999999999</v>
      </c>
      <c r="BR25" s="76">
        <v>-768.65274999999997</v>
      </c>
      <c r="BS25" s="76">
        <v>-347.83096</v>
      </c>
      <c r="BT25" s="76">
        <v>-5604913.4000000004</v>
      </c>
      <c r="BU25" s="76">
        <v>-140400.07</v>
      </c>
      <c r="BV25" s="76">
        <v>0</v>
      </c>
      <c r="BW25" s="76">
        <v>0</v>
      </c>
      <c r="BX25" s="76">
        <v>0</v>
      </c>
      <c r="BY25" s="76">
        <v>0</v>
      </c>
      <c r="BZ25" s="76">
        <v>0</v>
      </c>
      <c r="CA25" s="76">
        <v>-267591.67</v>
      </c>
      <c r="CB25" s="76">
        <v>0</v>
      </c>
      <c r="CC25" s="76">
        <v>0</v>
      </c>
      <c r="CD25" s="76">
        <v>0</v>
      </c>
      <c r="CE25" s="76">
        <v>0</v>
      </c>
      <c r="CF25" s="76">
        <v>0</v>
      </c>
      <c r="CG25" s="76">
        <v>0</v>
      </c>
      <c r="CH25" s="76">
        <v>-141353.03</v>
      </c>
      <c r="CI25" s="76">
        <v>0</v>
      </c>
      <c r="CJ25" s="76">
        <v>0</v>
      </c>
      <c r="CK25" s="76">
        <v>0</v>
      </c>
      <c r="CL25" s="76">
        <v>0</v>
      </c>
      <c r="CM25" s="76">
        <v>0</v>
      </c>
      <c r="CN25" s="76">
        <v>-0.38601740000000001</v>
      </c>
      <c r="CO25" s="76">
        <v>0</v>
      </c>
      <c r="CP25" s="76">
        <v>0</v>
      </c>
      <c r="CQ25" s="76">
        <v>-9.2741340999999995E-3</v>
      </c>
      <c r="CR25" s="76">
        <v>-862921.4</v>
      </c>
      <c r="CS25" s="76">
        <v>-862921.4</v>
      </c>
      <c r="CT25" s="76">
        <v>-2275872.6</v>
      </c>
      <c r="CU25" s="76">
        <v>0</v>
      </c>
      <c r="CV25" s="76">
        <v>0</v>
      </c>
      <c r="CW25" s="76">
        <v>-0.18759793</v>
      </c>
      <c r="CX25" s="76">
        <v>0</v>
      </c>
      <c r="CY25" s="76">
        <v>-0.14726748000000001</v>
      </c>
      <c r="CZ25" s="76">
        <v>0</v>
      </c>
      <c r="DA25" s="76">
        <v>-17.071586</v>
      </c>
      <c r="DB25" s="76">
        <v>0</v>
      </c>
    </row>
    <row r="27" spans="1:106">
      <c r="C27" s="1" t="s">
        <v>907</v>
      </c>
      <c r="D27" t="s">
        <v>41</v>
      </c>
      <c r="E27" s="64">
        <f>SUM(G18:BA18)/1000</f>
        <v>-96403256.409908116</v>
      </c>
      <c r="F27" t="s">
        <v>1213</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42"/>
      <c r="CU27" s="1"/>
      <c r="CV27" s="1"/>
      <c r="CW27" s="1"/>
      <c r="CX27" s="1"/>
      <c r="CY27" s="1"/>
      <c r="CZ27" s="1"/>
      <c r="DA27" s="1"/>
      <c r="DB27" s="1"/>
    </row>
    <row r="28" spans="1:106">
      <c r="C28" s="1" t="s">
        <v>907</v>
      </c>
      <c r="D28" t="s">
        <v>16</v>
      </c>
      <c r="E28" s="64">
        <f>SUM(BB18:DB18)/1000</f>
        <v>-25704600.865720306</v>
      </c>
      <c r="F28" s="1" t="s">
        <v>1213</v>
      </c>
    </row>
    <row r="29" spans="1:106">
      <c r="AX29" s="1"/>
      <c r="BC29" s="42"/>
      <c r="BD29" s="42"/>
      <c r="BG29" s="42"/>
      <c r="BH29" s="42"/>
      <c r="BL29" s="42"/>
      <c r="BO29" s="42"/>
      <c r="BP29" s="42"/>
      <c r="BT29" s="42"/>
      <c r="CR29" s="42"/>
      <c r="CS29" s="42"/>
      <c r="CT29" s="42"/>
    </row>
    <row r="30" spans="1:106" s="1" customFormat="1">
      <c r="B30" s="85" t="s">
        <v>1281</v>
      </c>
      <c r="C30" s="85"/>
      <c r="D30" s="85"/>
      <c r="E30" s="85"/>
      <c r="F30" s="85"/>
      <c r="G30" s="85"/>
      <c r="H30" s="85"/>
      <c r="I30" s="85"/>
      <c r="J30" s="85"/>
      <c r="K30" s="85"/>
      <c r="L30" s="85"/>
      <c r="M30" s="85"/>
      <c r="N30" s="85"/>
      <c r="O30" s="85"/>
      <c r="BC30" s="42"/>
      <c r="BD30" s="42"/>
      <c r="BG30" s="42"/>
      <c r="BH30" s="42"/>
      <c r="BL30" s="42"/>
      <c r="BO30" s="42"/>
      <c r="BP30" s="42"/>
      <c r="BT30" s="42"/>
      <c r="CR30" s="42"/>
      <c r="CS30" s="42"/>
      <c r="CT30" s="42"/>
    </row>
    <row r="31" spans="1:106" s="86" customFormat="1">
      <c r="E31" s="88" t="s">
        <v>1279</v>
      </c>
      <c r="BC31" s="87"/>
      <c r="BD31" s="87"/>
      <c r="BG31" s="87"/>
      <c r="BH31" s="87"/>
      <c r="BL31" s="87"/>
      <c r="BO31" s="87"/>
      <c r="BP31" s="87"/>
      <c r="BT31" s="87"/>
      <c r="CR31" s="87"/>
      <c r="CS31" s="87"/>
      <c r="CT31" s="87"/>
    </row>
    <row r="32" spans="1:106">
      <c r="F32" t="s">
        <v>1214</v>
      </c>
      <c r="AX32" s="1"/>
      <c r="BC32" s="42"/>
      <c r="BD32" s="42"/>
      <c r="BG32" s="42"/>
      <c r="BH32" s="42"/>
      <c r="BL32" s="42"/>
      <c r="BO32" s="42"/>
      <c r="BP32" s="42"/>
      <c r="BT32" s="42"/>
      <c r="CR32" s="42"/>
      <c r="CS32" s="42"/>
      <c r="CT32" s="42"/>
    </row>
    <row r="33" spans="5:103">
      <c r="E33">
        <v>0.20699999999999999</v>
      </c>
      <c r="F33" t="s">
        <v>1215</v>
      </c>
      <c r="AX33" s="1"/>
      <c r="BC33" s="42"/>
      <c r="BD33" s="42"/>
      <c r="BG33" s="42"/>
      <c r="BH33" s="42"/>
      <c r="BL33" s="42"/>
      <c r="BO33" s="42"/>
      <c r="BP33" s="42"/>
      <c r="BT33" s="42"/>
      <c r="CR33" s="42"/>
      <c r="CS33" s="42"/>
      <c r="CT33" s="42"/>
    </row>
    <row r="34" spans="5:103">
      <c r="E34" s="64">
        <v>20000</v>
      </c>
      <c r="F34" t="s">
        <v>1217</v>
      </c>
      <c r="AX34" s="1"/>
      <c r="CN34" s="42"/>
      <c r="CQ34" s="42"/>
      <c r="CW34" s="42"/>
      <c r="CY34" s="42"/>
    </row>
    <row r="35" spans="5:103">
      <c r="E35">
        <f>E33*E34/1000</f>
        <v>4.1399999999999997</v>
      </c>
      <c r="F35" t="s">
        <v>1216</v>
      </c>
      <c r="AX35" s="1"/>
      <c r="BB35" s="42"/>
      <c r="BC35" s="42"/>
      <c r="BD35" s="42"/>
      <c r="BH35" s="42"/>
      <c r="BO35" s="42"/>
      <c r="BP35" s="42"/>
    </row>
    <row r="36" spans="5:103">
      <c r="E36" s="64">
        <f>SUM(E27:E28)/E35</f>
        <v>-29494651.515852276</v>
      </c>
      <c r="F36" t="s">
        <v>1218</v>
      </c>
      <c r="AX36" s="1"/>
      <c r="BB36" s="42"/>
      <c r="BC36" s="42"/>
      <c r="BD36" s="42"/>
      <c r="BG36" s="42"/>
      <c r="BH36" s="42"/>
      <c r="BJ36" s="42"/>
      <c r="BK36" s="42"/>
      <c r="BL36" s="42"/>
      <c r="BN36" s="42"/>
      <c r="BO36" s="42"/>
      <c r="BP36" s="42"/>
      <c r="BT36" s="42"/>
      <c r="CA36" s="42"/>
      <c r="CR36" s="42"/>
      <c r="CS36" s="42"/>
      <c r="CT36" s="42"/>
    </row>
    <row r="37" spans="5:103">
      <c r="AX37" s="1"/>
      <c r="BC37" s="42"/>
      <c r="BD37" s="42"/>
      <c r="BH37" s="42"/>
      <c r="BO37" s="42"/>
      <c r="BP37" s="42"/>
    </row>
    <row r="38" spans="5:103" s="1" customFormat="1">
      <c r="E38" s="39" t="s">
        <v>909</v>
      </c>
      <c r="BC38" s="42"/>
      <c r="BD38" s="42"/>
      <c r="BH38" s="42"/>
      <c r="BO38" s="42"/>
      <c r="BP38" s="42"/>
    </row>
    <row r="39" spans="5:103">
      <c r="E39" s="42">
        <v>2.09E-5</v>
      </c>
      <c r="F39" t="s">
        <v>1282</v>
      </c>
      <c r="AX39" s="1"/>
      <c r="BI39" s="42"/>
    </row>
    <row r="40" spans="5:103" s="76" customFormat="1">
      <c r="E40" s="89">
        <f>E39*365*24*60</f>
        <v>10.98504</v>
      </c>
      <c r="F40" s="76" t="s">
        <v>1283</v>
      </c>
    </row>
    <row r="41" spans="5:103" s="76" customFormat="1">
      <c r="BC41" s="79"/>
      <c r="BD41" s="79"/>
      <c r="BH41" s="79"/>
      <c r="BO41" s="79"/>
      <c r="BP41" s="79"/>
      <c r="CE41" s="79"/>
    </row>
    <row r="42" spans="5:103" s="76" customFormat="1">
      <c r="E42" s="64">
        <f>E20</f>
        <v>-138714.47570372626</v>
      </c>
      <c r="F42" s="76" t="s">
        <v>1293</v>
      </c>
    </row>
    <row r="43" spans="5:103" s="76" customFormat="1">
      <c r="E43" s="76">
        <f>AVERAGE(79,84)</f>
        <v>81.5</v>
      </c>
      <c r="F43" s="76" t="s">
        <v>1286</v>
      </c>
    </row>
    <row r="44" spans="5:103" s="76" customFormat="1">
      <c r="E44" s="64">
        <f>E42/E43</f>
        <v>-1702.0181067941874</v>
      </c>
      <c r="F44" s="76" t="s">
        <v>1284</v>
      </c>
    </row>
    <row r="45" spans="5:103" s="76" customFormat="1">
      <c r="E45" s="64">
        <f>E42/E39</f>
        <v>-6637056253.7668066</v>
      </c>
      <c r="F45" s="76" t="s">
        <v>1285</v>
      </c>
      <c r="BD45" s="79"/>
    </row>
    <row r="46" spans="5:103" s="76" customFormat="1">
      <c r="BD46" s="79"/>
      <c r="BG46" s="79"/>
      <c r="BH46" s="79"/>
      <c r="BK46" s="79"/>
      <c r="BL46" s="79"/>
      <c r="BP46" s="79"/>
      <c r="BS46" s="79"/>
      <c r="BT46" s="79"/>
      <c r="BX46" s="79"/>
      <c r="CV46" s="79"/>
      <c r="CW46" s="79"/>
      <c r="CX46" s="79"/>
    </row>
    <row r="47" spans="5:103" s="76" customFormat="1">
      <c r="E47" s="90" t="s">
        <v>911</v>
      </c>
      <c r="BD47" s="79"/>
      <c r="BG47" s="79"/>
      <c r="BH47" s="79"/>
      <c r="BK47" s="79"/>
      <c r="BL47" s="79"/>
      <c r="BP47" s="79"/>
      <c r="BS47" s="79"/>
      <c r="BT47" s="79"/>
      <c r="BX47" s="79"/>
      <c r="CV47" s="79"/>
      <c r="CW47" s="79"/>
      <c r="CX47" s="79"/>
    </row>
    <row r="48" spans="5:103" s="76" customFormat="1">
      <c r="E48" s="64">
        <v>10000</v>
      </c>
      <c r="F48" s="76" t="s">
        <v>1287</v>
      </c>
      <c r="BD48" s="79"/>
      <c r="BG48" s="79"/>
      <c r="BH48" s="79"/>
      <c r="BK48" s="79"/>
      <c r="BL48" s="79"/>
      <c r="BP48" s="79"/>
      <c r="BS48" s="79"/>
      <c r="BT48" s="79"/>
      <c r="BX48" s="79"/>
      <c r="CV48" s="79"/>
      <c r="CW48" s="79"/>
      <c r="CX48" s="79"/>
    </row>
    <row r="49" spans="5:107" s="76" customFormat="1">
      <c r="E49" s="64">
        <f>E21</f>
        <v>-36251778152.938614</v>
      </c>
      <c r="F49" s="76" t="s">
        <v>1292</v>
      </c>
      <c r="BD49" s="79"/>
      <c r="CR49" s="79"/>
      <c r="CU49" s="79"/>
      <c r="DA49" s="79"/>
      <c r="DC49" s="79"/>
    </row>
    <row r="50" spans="5:107" s="76" customFormat="1">
      <c r="E50" s="64">
        <f>E49/E48</f>
        <v>-3625177.8152938616</v>
      </c>
      <c r="F50" s="76" t="s">
        <v>1288</v>
      </c>
      <c r="BD50" s="79"/>
      <c r="BF50" s="79"/>
      <c r="BG50" s="79"/>
      <c r="BH50" s="79"/>
      <c r="BL50" s="79"/>
      <c r="BS50" s="79"/>
      <c r="BT50" s="79"/>
    </row>
    <row r="51" spans="5:107" s="76" customFormat="1">
      <c r="E51" s="79"/>
      <c r="G51" s="79"/>
      <c r="H51" s="79"/>
      <c r="I51" s="79"/>
      <c r="K51" s="79"/>
      <c r="O51" s="79"/>
      <c r="P51" s="79"/>
      <c r="Q51" s="79"/>
      <c r="S51" s="79"/>
      <c r="W51" s="79"/>
      <c r="X51" s="79"/>
      <c r="Y51" s="79"/>
      <c r="Z51" s="79"/>
      <c r="AC51" s="79"/>
      <c r="AD51" s="79"/>
      <c r="AJ51" s="79"/>
      <c r="AK51" s="79"/>
      <c r="AO51" s="79"/>
      <c r="AP51" s="79"/>
      <c r="AX51" s="79"/>
      <c r="AY51" s="79"/>
      <c r="AZ51" s="79"/>
      <c r="BA51" s="79"/>
      <c r="BD51" s="79"/>
      <c r="BF51" s="79"/>
      <c r="BG51" s="79"/>
      <c r="BH51" s="79"/>
      <c r="BK51" s="79"/>
      <c r="BL51" s="79"/>
      <c r="BN51" s="79"/>
      <c r="BO51" s="79"/>
      <c r="BP51" s="79"/>
      <c r="BR51" s="79"/>
      <c r="BS51" s="79"/>
      <c r="BT51" s="79"/>
      <c r="BX51" s="79"/>
      <c r="BY51" s="79"/>
      <c r="CE51" s="79"/>
      <c r="CL51" s="79"/>
      <c r="CV51" s="79"/>
      <c r="CW51" s="79"/>
      <c r="CX51" s="79"/>
    </row>
    <row r="52" spans="5:107" s="76" customFormat="1">
      <c r="E52" s="92" t="s">
        <v>913</v>
      </c>
      <c r="G52" s="79"/>
      <c r="H52" s="79"/>
      <c r="I52" s="79"/>
      <c r="K52" s="79"/>
      <c r="O52" s="79"/>
      <c r="P52" s="79"/>
      <c r="Q52" s="79"/>
      <c r="S52" s="79"/>
      <c r="W52" s="79"/>
      <c r="X52" s="79"/>
      <c r="Y52" s="79"/>
      <c r="Z52" s="79"/>
      <c r="AC52" s="79"/>
      <c r="AD52" s="79"/>
      <c r="AJ52" s="79"/>
      <c r="AK52" s="79"/>
      <c r="AO52" s="79"/>
      <c r="AP52" s="79"/>
      <c r="AX52" s="79"/>
      <c r="AY52" s="79"/>
      <c r="AZ52" s="79"/>
      <c r="BA52" s="79"/>
      <c r="BD52" s="79"/>
      <c r="BG52" s="79"/>
      <c r="BH52" s="79"/>
      <c r="BL52" s="79"/>
      <c r="BS52" s="79"/>
      <c r="BT52" s="79"/>
    </row>
    <row r="53" spans="5:107" s="76" customFormat="1">
      <c r="E53" s="64">
        <v>5858</v>
      </c>
      <c r="F53" s="76" t="s">
        <v>1289</v>
      </c>
      <c r="G53" s="79"/>
      <c r="H53" s="79"/>
      <c r="I53" s="79"/>
      <c r="K53" s="79"/>
      <c r="L53" s="79"/>
      <c r="M53" s="79"/>
      <c r="O53" s="79"/>
      <c r="P53" s="79"/>
      <c r="Q53" s="79"/>
      <c r="S53" s="79"/>
      <c r="T53" s="79"/>
      <c r="U53" s="79"/>
      <c r="W53" s="79"/>
      <c r="X53" s="79"/>
      <c r="Y53" s="79"/>
      <c r="Z53" s="79"/>
      <c r="AA53" s="79"/>
      <c r="AC53" s="79"/>
      <c r="AD53" s="79"/>
      <c r="AG53" s="79"/>
      <c r="AJ53" s="79"/>
      <c r="AK53" s="79"/>
      <c r="AN53" s="79"/>
      <c r="AO53" s="79"/>
      <c r="AP53" s="79"/>
      <c r="AQ53" s="79"/>
      <c r="AS53" s="79"/>
      <c r="AU53" s="79"/>
      <c r="AV53" s="79"/>
      <c r="AX53" s="79"/>
      <c r="AY53" s="79"/>
      <c r="AZ53" s="79"/>
      <c r="BA53" s="79"/>
      <c r="BB53" s="79"/>
      <c r="BC53" s="79"/>
      <c r="BD53" s="79"/>
      <c r="BE53" s="79"/>
    </row>
    <row r="54" spans="5:107" s="76" customFormat="1">
      <c r="E54" s="91">
        <f>E22</f>
        <v>-2082127402186.355</v>
      </c>
      <c r="F54" s="76" t="s">
        <v>1291</v>
      </c>
      <c r="G54" s="79"/>
      <c r="I54" s="79"/>
      <c r="J54" s="79"/>
      <c r="K54" s="79"/>
      <c r="L54" s="79"/>
      <c r="M54" s="79"/>
      <c r="O54" s="79"/>
      <c r="Q54" s="79"/>
      <c r="R54" s="79"/>
      <c r="S54" s="79"/>
      <c r="T54" s="79"/>
      <c r="U54" s="79"/>
      <c r="Y54" s="79"/>
      <c r="AA54" s="79"/>
      <c r="AC54" s="79"/>
      <c r="AE54" s="79"/>
      <c r="AG54" s="79"/>
      <c r="AL54" s="79"/>
      <c r="AN54" s="79"/>
      <c r="AO54" s="79"/>
      <c r="AP54" s="79"/>
      <c r="AQ54" s="79"/>
      <c r="AS54" s="79"/>
      <c r="AU54" s="79"/>
      <c r="AV54" s="79"/>
      <c r="AX54" s="79"/>
      <c r="AY54" s="79"/>
      <c r="AZ54" s="79"/>
      <c r="BA54" s="79"/>
      <c r="BB54" s="79"/>
      <c r="BC54" s="79"/>
      <c r="BD54" s="79"/>
      <c r="BE54" s="79"/>
      <c r="BM54" s="79"/>
    </row>
    <row r="55" spans="5:107" s="76" customFormat="1">
      <c r="E55" s="64">
        <f>E54/E53</f>
        <v>-355433151.61938459</v>
      </c>
      <c r="F55" s="76" t="s">
        <v>1290</v>
      </c>
      <c r="G55" s="79"/>
      <c r="H55" s="79"/>
      <c r="I55" s="79"/>
      <c r="J55" s="79"/>
      <c r="K55" s="79"/>
      <c r="L55" s="79"/>
      <c r="M55" s="79"/>
      <c r="O55" s="79"/>
      <c r="P55" s="79"/>
      <c r="Q55" s="79"/>
      <c r="R55" s="79"/>
      <c r="S55" s="79"/>
      <c r="T55" s="79"/>
      <c r="U55" s="79"/>
      <c r="W55" s="79"/>
      <c r="X55" s="79"/>
      <c r="Y55" s="79"/>
      <c r="Z55" s="79"/>
      <c r="AA55" s="79"/>
      <c r="AC55" s="79"/>
      <c r="AD55" s="79"/>
      <c r="AE55" s="79"/>
      <c r="AG55" s="79"/>
      <c r="AJ55" s="79"/>
      <c r="AK55" s="79"/>
      <c r="AL55" s="79"/>
      <c r="AN55" s="79"/>
      <c r="AO55" s="79"/>
      <c r="AP55" s="79"/>
      <c r="AQ55" s="79"/>
      <c r="AS55" s="79"/>
      <c r="AU55" s="79"/>
      <c r="AV55" s="79"/>
      <c r="AX55" s="79"/>
      <c r="AY55" s="79"/>
      <c r="AZ55" s="79"/>
      <c r="BA55" s="79"/>
      <c r="BB55" s="79"/>
      <c r="BC55" s="79"/>
      <c r="BD55" s="79"/>
      <c r="BE55" s="79"/>
      <c r="BM55" s="79"/>
    </row>
    <row r="56" spans="5:107" s="76" customFormat="1">
      <c r="E56" s="79"/>
      <c r="G56" s="79"/>
      <c r="H56" s="79"/>
      <c r="I56" s="79"/>
      <c r="J56" s="79"/>
      <c r="K56" s="79"/>
      <c r="L56" s="79"/>
      <c r="M56" s="79"/>
      <c r="N56" s="79"/>
      <c r="O56" s="79"/>
      <c r="P56" s="79"/>
      <c r="Q56" s="79"/>
      <c r="R56" s="79"/>
      <c r="S56" s="79"/>
      <c r="T56" s="79"/>
      <c r="U56" s="79"/>
      <c r="W56" s="79"/>
      <c r="X56" s="79"/>
      <c r="Y56" s="79"/>
      <c r="Z56" s="79"/>
      <c r="AA56" s="79"/>
      <c r="AB56" s="79"/>
      <c r="AC56" s="79"/>
      <c r="AD56" s="79"/>
      <c r="AE56" s="79"/>
      <c r="AF56" s="79"/>
      <c r="AG56" s="79"/>
      <c r="AJ56" s="79"/>
      <c r="AK56" s="79"/>
      <c r="AL56" s="79"/>
      <c r="AN56" s="79"/>
      <c r="AO56" s="79"/>
      <c r="AP56" s="79"/>
      <c r="AQ56" s="79"/>
      <c r="AX56" s="79"/>
      <c r="AY56" s="79"/>
      <c r="AZ56" s="79"/>
      <c r="BA56" s="79"/>
      <c r="BB56" s="79"/>
      <c r="BC56" s="79"/>
      <c r="BE56" s="79"/>
      <c r="BH56" s="79"/>
      <c r="BI56" s="79"/>
      <c r="BL56" s="79"/>
      <c r="BM56" s="79"/>
      <c r="BT56" s="79"/>
      <c r="BU56" s="79"/>
      <c r="BY56" s="79"/>
      <c r="CI56" s="79"/>
      <c r="CW56" s="79"/>
      <c r="CX56" s="79"/>
      <c r="CY56" s="79"/>
    </row>
    <row r="57" spans="5:107" s="76" customFormat="1">
      <c r="E57" s="92" t="s">
        <v>1280</v>
      </c>
      <c r="I57" s="79"/>
      <c r="L57" s="79"/>
      <c r="M57" s="79"/>
      <c r="O57" s="79"/>
      <c r="S57" s="79"/>
      <c r="T57" s="79"/>
      <c r="U57" s="79"/>
      <c r="W57" s="79"/>
      <c r="X57" s="79"/>
      <c r="AA57" s="79"/>
      <c r="AC57" s="79"/>
      <c r="AD57" s="79"/>
      <c r="AG57" s="79"/>
      <c r="AN57" s="79"/>
      <c r="AP57" s="79"/>
      <c r="AQ57" s="79"/>
      <c r="AU57" s="79"/>
      <c r="AX57" s="79"/>
      <c r="AY57" s="79"/>
      <c r="BA57" s="79"/>
      <c r="BB57" s="79"/>
      <c r="BC57" s="79"/>
      <c r="BE57" s="79"/>
    </row>
    <row r="58" spans="5:107" s="76" customFormat="1">
      <c r="E58" s="64">
        <v>2500</v>
      </c>
      <c r="F58" s="76" t="s">
        <v>1294</v>
      </c>
      <c r="G58" s="79"/>
      <c r="I58" s="79"/>
      <c r="J58" s="79"/>
      <c r="K58" s="79"/>
      <c r="L58" s="79"/>
      <c r="M58" s="79"/>
      <c r="N58" s="79"/>
      <c r="O58" s="79"/>
      <c r="P58" s="79"/>
      <c r="R58" s="79"/>
      <c r="S58" s="79"/>
      <c r="T58" s="79"/>
      <c r="U58" s="79"/>
      <c r="V58" s="79"/>
      <c r="W58" s="79"/>
      <c r="X58" s="79"/>
      <c r="Y58" s="79"/>
      <c r="AA58" s="79"/>
      <c r="AB58" s="79"/>
      <c r="AC58" s="79"/>
      <c r="AD58" s="79"/>
      <c r="AE58" s="79"/>
      <c r="AG58" s="79"/>
      <c r="AH58" s="79"/>
      <c r="AI58" s="79"/>
      <c r="AJ58" s="79"/>
      <c r="AL58" s="79"/>
      <c r="AN58" s="79"/>
      <c r="AO58" s="79"/>
      <c r="AP58" s="79"/>
      <c r="AQ58" s="79"/>
      <c r="AS58" s="79"/>
      <c r="AT58" s="79"/>
      <c r="AU58" s="79"/>
      <c r="AV58" s="79"/>
      <c r="AX58" s="79"/>
      <c r="AY58" s="79"/>
      <c r="AZ58" s="79"/>
      <c r="BA58" s="79"/>
      <c r="BB58" s="79"/>
      <c r="BC58" s="79"/>
      <c r="BD58" s="79"/>
      <c r="BE58" s="79"/>
    </row>
    <row r="59" spans="5:107" s="76" customFormat="1">
      <c r="E59" s="79">
        <f>E23</f>
        <v>-2855908981.0908313</v>
      </c>
      <c r="G59" s="79"/>
      <c r="I59" s="79"/>
      <c r="J59" s="79"/>
      <c r="K59" s="79"/>
      <c r="L59" s="79"/>
      <c r="M59" s="79"/>
      <c r="N59" s="79"/>
      <c r="P59" s="79"/>
      <c r="Q59" s="79"/>
      <c r="R59" s="79"/>
      <c r="S59" s="79"/>
      <c r="T59" s="79"/>
      <c r="U59" s="79"/>
      <c r="V59" s="79"/>
      <c r="Y59" s="79"/>
      <c r="Z59" s="79"/>
      <c r="AA59" s="79"/>
      <c r="AB59" s="79"/>
      <c r="AC59" s="79"/>
      <c r="AE59" s="79"/>
      <c r="AF59" s="79"/>
      <c r="AG59" s="79"/>
      <c r="AH59" s="79"/>
      <c r="AL59" s="79"/>
      <c r="AN59" s="79"/>
      <c r="AO59" s="79"/>
      <c r="AQ59" s="79"/>
      <c r="AR59" s="79"/>
      <c r="AZ59" s="79"/>
      <c r="BA59" s="79"/>
      <c r="BB59" s="79"/>
      <c r="BC59" s="79"/>
      <c r="BD59" s="79"/>
      <c r="BE59" s="79"/>
    </row>
    <row r="60" spans="5:107" s="76" customFormat="1">
      <c r="E60" s="64">
        <f>E59/E58</f>
        <v>-1142363.5924363325</v>
      </c>
      <c r="G60" s="79"/>
      <c r="I60" s="79"/>
      <c r="Y60" s="79"/>
      <c r="AE60" s="79"/>
      <c r="AO60" s="79"/>
      <c r="AZ60" s="79"/>
      <c r="BC60" s="79"/>
      <c r="BD60" s="79"/>
      <c r="BE60" s="79"/>
    </row>
    <row r="61" spans="5:107" s="76" customFormat="1">
      <c r="G61" s="79"/>
      <c r="I61" s="79"/>
      <c r="BE61" s="79"/>
    </row>
    <row r="62" spans="5:107" s="76" customFormat="1">
      <c r="G62" s="79"/>
      <c r="BD62" s="79"/>
      <c r="BE62" s="79"/>
    </row>
    <row r="63" spans="5:107" s="76" customFormat="1">
      <c r="BD63" s="79"/>
      <c r="BE63" s="79"/>
    </row>
    <row r="64" spans="5:107" s="76" customFormat="1">
      <c r="BD64" s="79"/>
      <c r="BE64" s="79"/>
    </row>
    <row r="65" spans="3:56" s="76" customFormat="1">
      <c r="BD65" s="79"/>
    </row>
    <row r="66" spans="3:56" s="76" customFormat="1">
      <c r="BD66" s="79"/>
    </row>
    <row r="67" spans="3:56" s="76" customFormat="1"/>
    <row r="73" spans="3:56">
      <c r="C73" s="42"/>
      <c r="F73" s="42"/>
      <c r="G73" s="42"/>
      <c r="J73" s="42"/>
      <c r="K73" s="42"/>
      <c r="O73" s="42"/>
      <c r="R73" s="42"/>
      <c r="S73" s="42"/>
      <c r="W73" s="42"/>
      <c r="AU73" s="42"/>
      <c r="AV73" s="42"/>
      <c r="AW73" s="42"/>
    </row>
    <row r="74" spans="3:56">
      <c r="C74" s="42"/>
      <c r="F74" s="42"/>
      <c r="G74" s="42"/>
      <c r="J74" s="42"/>
      <c r="K74" s="42"/>
      <c r="O74" s="42"/>
      <c r="R74" s="42"/>
      <c r="S74" s="42"/>
      <c r="W74" s="42"/>
      <c r="AU74" s="42"/>
      <c r="AV74" s="42"/>
      <c r="AW74" s="42"/>
    </row>
    <row r="75" spans="3:56">
      <c r="C75" s="42"/>
      <c r="F75" s="42"/>
      <c r="G75" s="42"/>
      <c r="J75" s="42"/>
      <c r="K75" s="42"/>
      <c r="O75" s="42"/>
      <c r="R75" s="42"/>
      <c r="S75" s="42"/>
      <c r="W75" s="42"/>
      <c r="AU75" s="42"/>
      <c r="AV75" s="42"/>
      <c r="AW75" s="42"/>
    </row>
    <row r="76" spans="3:56">
      <c r="AQ76" s="42"/>
      <c r="AT76" s="42"/>
      <c r="AZ76" s="42"/>
    </row>
    <row r="77" spans="3:56">
      <c r="C77" s="42"/>
      <c r="E77" s="42"/>
      <c r="F77" s="42"/>
      <c r="G77" s="42"/>
      <c r="K77" s="42"/>
      <c r="R77" s="42"/>
      <c r="S77" s="42"/>
    </row>
    <row r="78" spans="3:56">
      <c r="C78" s="42"/>
      <c r="E78" s="42"/>
      <c r="F78" s="42"/>
      <c r="G78" s="42"/>
      <c r="J78" s="42"/>
      <c r="K78" s="42"/>
      <c r="M78" s="42"/>
      <c r="N78" s="42"/>
      <c r="O78" s="42"/>
      <c r="Q78" s="42"/>
      <c r="R78" s="42"/>
      <c r="S78" s="42"/>
      <c r="W78" s="42"/>
      <c r="AD78" s="42"/>
      <c r="AU78" s="42"/>
      <c r="AV78" s="42"/>
      <c r="AW78" s="42"/>
    </row>
    <row r="79" spans="3:56">
      <c r="C79" s="42"/>
      <c r="F79" s="42"/>
      <c r="G79" s="42"/>
      <c r="K79" s="42"/>
      <c r="R79" s="42"/>
      <c r="S79" s="42"/>
    </row>
    <row r="80" spans="3:56">
      <c r="C80" s="42"/>
    </row>
    <row r="81" spans="3:3">
      <c r="C81" s="42"/>
    </row>
  </sheetData>
  <sheetProtection algorithmName="SHA-512" hashValue="Zv0np2DHXExtPqhBXLVi8umq5Fzr1q3vUx9jCz1rBrg8W54g7OkVTYsdv1GeGyv5pWlG8EYquplYhJbBYFAGGQ==" saltValue="0fLVqoJFiV7kqzDxqn+c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Synergies</vt:lpstr>
      <vt:lpstr>Synergies for LCA</vt:lpstr>
      <vt:lpstr>SP export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2021-01-11T16:37:16Z</dcterms:modified>
</cp:coreProperties>
</file>